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ohngraves/Dropbox/teaching/v-brch-nigeria-2023/case-studies/"/>
    </mc:Choice>
  </mc:AlternateContent>
  <xr:revisionPtr revIDLastSave="0" documentId="13_ncr:1_{F59F0A06-FCAC-E14C-ADE1-979F56092FAC}" xr6:coauthVersionLast="47" xr6:coauthVersionMax="47" xr10:uidLastSave="{00000000-0000-0000-0000-000000000000}"/>
  <bookViews>
    <workbookView xWindow="0" yWindow="760" windowWidth="34560" windowHeight="19700" activeTab="7" xr2:uid="{662BD01A-6D8F-4448-A9B7-D7B1817CA996}"/>
  </bookViews>
  <sheets>
    <sheet name="parameters" sheetId="1" r:id="rId1"/>
    <sheet name="transition_matrices" sheetId="6" r:id="rId2"/>
    <sheet name="&lt;&lt;&lt; SETUP &lt;&lt;&lt;" sheetId="8" r:id="rId3"/>
    <sheet name="NH" sheetId="3" r:id="rId4"/>
    <sheet name="A" sheetId="16" r:id="rId5"/>
    <sheet name="B" sheetId="17" r:id="rId6"/>
    <sheet name="C" sheetId="18" r:id="rId7"/>
    <sheet name="D" sheetId="19" r:id="rId8"/>
    <sheet name="CEA" sheetId="5" r:id="rId9"/>
  </sheets>
  <definedNames>
    <definedName name="age0">parameters!$B$5</definedName>
    <definedName name="c_DeadBG">parameters!$B$31</definedName>
    <definedName name="c_DeadDisease">parameters!$B$32</definedName>
    <definedName name="c_Healthy">parameters!$B$28</definedName>
    <definedName name="c_Sick">parameters!$B$29</definedName>
    <definedName name="c_Sicker">parameters!$B$30</definedName>
    <definedName name="c_TxA">parameters!$B$33</definedName>
    <definedName name="c_TxB">parameters!$B$34</definedName>
    <definedName name="c_TxC">parameters!$B$35</definedName>
    <definedName name="c_TxD">parameters!$B$36</definedName>
    <definedName name="c_TxE">parameters!#REF!</definedName>
    <definedName name="Cost_NH">NH!$AH$9</definedName>
    <definedName name="Cost_TxA">A!$AH$9</definedName>
    <definedName name="Cost_TxB">B!$AH$9</definedName>
    <definedName name="Cost_TxC">'C'!$AH$9</definedName>
    <definedName name="Cost_TxD">D!$AH$9</definedName>
    <definedName name="cycle">parameters!$B$41</definedName>
    <definedName name="DALY_NH">NH!$AL$9</definedName>
    <definedName name="DALY_TxA">A!$AL$9</definedName>
    <definedName name="DALY_TxB">B!$AL$9</definedName>
    <definedName name="DALY_TxC">'C'!$AL$9</definedName>
    <definedName name="DALY_TxD">D!$AL$9</definedName>
    <definedName name="Delta_t">parameters!$B$3</definedName>
    <definedName name="dwS1_">parameters!$B$39</definedName>
    <definedName name="dwS1_unadj">parameters!$B$7</definedName>
    <definedName name="dwS2_">parameters!$B$40</definedName>
    <definedName name="dwS2_unadj">parameters!$B$8</definedName>
    <definedName name="horizon">parameters!$B$4</definedName>
    <definedName name="mP_NH">transition_matrices!$D$3:$H$7</definedName>
    <definedName name="mP_TxA">transition_matrices!$D$8:$H$12</definedName>
    <definedName name="mP_TxB">transition_matrices!$D$13:$H$17</definedName>
    <definedName name="mP_TxC">transition_matrices!$D$18:$H$22</definedName>
    <definedName name="mP_TxD">transition_matrices!$D$23:$H$27</definedName>
    <definedName name="pHDeadBG">parameters!$B$17</definedName>
    <definedName name="pHDeadDisease">parameters!$B$20</definedName>
    <definedName name="pHS1_">parameters!$B$14</definedName>
    <definedName name="pHS2_">parameters!$B$15</definedName>
    <definedName name="pS1DeadBG">parameters!$B$18</definedName>
    <definedName name="pS1DeadDisease">parameters!$B$21</definedName>
    <definedName name="pS1S2_">parameters!$B$16</definedName>
    <definedName name="pS2DeadBG">parameters!$B$19</definedName>
    <definedName name="pS2DeadDisease">parameters!$B$22</definedName>
    <definedName name="QALY_NH">NH!$AI$9</definedName>
    <definedName name="QALY_TxA">A!$AI$9</definedName>
    <definedName name="QALY_TxB">B!$AI$9</definedName>
    <definedName name="QALY_TxC">'C'!$AI$9</definedName>
    <definedName name="QALY_TxD">D!$AI$9</definedName>
    <definedName name="r_ann">parameters!$B$6</definedName>
    <definedName name="r_Delta_t">parameters!$B$38</definedName>
    <definedName name="rrS1_TxA">parameters!$B$23</definedName>
    <definedName name="rrS1_TxB">parameters!$B$24</definedName>
    <definedName name="rrS1_TxC">parameters!$B$25</definedName>
    <definedName name="rrS1Dead_TxD">parameters!$B$26</definedName>
    <definedName name="rrS2Dead_TxD">parameters!$B$27</definedName>
    <definedName name="uDeadBG">parameters!$B$12</definedName>
    <definedName name="uDeadDisease">parameters!$B$13</definedName>
    <definedName name="uHealthy">parameters!$B$9</definedName>
    <definedName name="uS1_">parameters!$B$10</definedName>
    <definedName name="uS2_">parameters!$B$11</definedName>
    <definedName name="YLD_NH">NH!$AJ$9</definedName>
    <definedName name="YLD_TxA">A!$AJ$9</definedName>
    <definedName name="YLD_TxB">B!$AJ$9</definedName>
    <definedName name="YLD_TxC">'C'!$AJ$9</definedName>
    <definedName name="YLD_TxD">D!$AJ$9</definedName>
    <definedName name="YLL_NH">NH!$AK$9</definedName>
    <definedName name="YLL_TxA">A!$AK$9</definedName>
    <definedName name="YLL_TxB">B!$AK$9</definedName>
    <definedName name="YLL_TxC">'C'!$AK$9</definedName>
    <definedName name="YLL_TxD">D!$AK$9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66" i="19" l="1"/>
  <c r="AE65" i="19"/>
  <c r="AE64" i="19"/>
  <c r="AE63" i="19"/>
  <c r="AE62" i="19"/>
  <c r="AE61" i="19"/>
  <c r="AE60" i="19"/>
  <c r="AE59" i="19"/>
  <c r="AE58" i="19"/>
  <c r="AE57" i="19"/>
  <c r="AE56" i="19"/>
  <c r="AE55" i="19"/>
  <c r="AE54" i="19"/>
  <c r="AE53" i="19"/>
  <c r="AE52" i="19"/>
  <c r="AE51" i="19"/>
  <c r="AE50" i="19"/>
  <c r="AE49" i="19"/>
  <c r="AE48" i="19"/>
  <c r="AE47" i="19"/>
  <c r="AE46" i="19"/>
  <c r="AE45" i="19"/>
  <c r="AE44" i="19"/>
  <c r="AE43" i="19"/>
  <c r="AE42" i="19"/>
  <c r="AE41" i="19"/>
  <c r="AE40" i="19"/>
  <c r="AE39" i="19"/>
  <c r="AE38" i="19"/>
  <c r="AE37" i="19"/>
  <c r="AE36" i="19"/>
  <c r="AE35" i="19"/>
  <c r="AE34" i="19"/>
  <c r="AE33" i="19"/>
  <c r="AE32" i="19"/>
  <c r="AE31" i="19"/>
  <c r="AE30" i="19"/>
  <c r="AE29" i="19"/>
  <c r="AE28" i="19"/>
  <c r="AE27" i="19"/>
  <c r="AE26" i="19"/>
  <c r="AE25" i="19"/>
  <c r="AE24" i="19"/>
  <c r="AE23" i="19"/>
  <c r="AE22" i="19"/>
  <c r="AE21" i="19"/>
  <c r="AE20" i="19"/>
  <c r="AE19" i="19"/>
  <c r="AE18" i="19"/>
  <c r="AE17" i="19"/>
  <c r="AE16" i="19"/>
  <c r="AE15" i="19"/>
  <c r="AE14" i="19"/>
  <c r="AE13" i="19"/>
  <c r="AE12" i="19"/>
  <c r="AE11" i="19"/>
  <c r="AE10" i="19"/>
  <c r="AE9" i="19"/>
  <c r="AE8" i="19"/>
  <c r="AE7" i="19"/>
  <c r="AE66" i="18"/>
  <c r="AE65" i="18"/>
  <c r="AE64" i="18"/>
  <c r="AE63" i="18"/>
  <c r="AE62" i="18"/>
  <c r="AE61" i="18"/>
  <c r="AE60" i="18"/>
  <c r="AE59" i="18"/>
  <c r="AE58" i="18"/>
  <c r="AE57" i="18"/>
  <c r="AE56" i="18"/>
  <c r="AE55" i="18"/>
  <c r="AE54" i="18"/>
  <c r="AE53" i="18"/>
  <c r="AE52" i="18"/>
  <c r="AE51" i="18"/>
  <c r="AE50" i="18"/>
  <c r="AE49" i="18"/>
  <c r="AE48" i="18"/>
  <c r="AE47" i="18"/>
  <c r="AE46" i="18"/>
  <c r="AE45" i="18"/>
  <c r="AE44" i="18"/>
  <c r="AE43" i="18"/>
  <c r="AE42" i="18"/>
  <c r="AE41" i="18"/>
  <c r="AE40" i="18"/>
  <c r="AE39" i="18"/>
  <c r="AE38" i="18"/>
  <c r="AE37" i="18"/>
  <c r="AE36" i="18"/>
  <c r="AE35" i="18"/>
  <c r="AE34" i="18"/>
  <c r="AE33" i="18"/>
  <c r="AE32" i="18"/>
  <c r="AE31" i="18"/>
  <c r="AE30" i="18"/>
  <c r="AE29" i="18"/>
  <c r="AE28" i="18"/>
  <c r="AE27" i="18"/>
  <c r="AE26" i="18"/>
  <c r="AE25" i="18"/>
  <c r="AE24" i="18"/>
  <c r="AE23" i="18"/>
  <c r="AE22" i="18"/>
  <c r="AE21" i="18"/>
  <c r="AE20" i="18"/>
  <c r="AE19" i="18"/>
  <c r="AE18" i="18"/>
  <c r="AE17" i="18"/>
  <c r="AE16" i="18"/>
  <c r="AE15" i="18"/>
  <c r="AE14" i="18"/>
  <c r="AE13" i="18"/>
  <c r="AE12" i="18"/>
  <c r="AE11" i="18"/>
  <c r="AE10" i="18"/>
  <c r="AE9" i="18"/>
  <c r="AE8" i="18"/>
  <c r="AE7" i="18"/>
  <c r="AE66" i="17"/>
  <c r="AE65" i="17"/>
  <c r="AE64" i="17"/>
  <c r="AE63" i="17"/>
  <c r="AE62" i="17"/>
  <c r="AE61" i="17"/>
  <c r="AE60" i="17"/>
  <c r="AE59" i="17"/>
  <c r="AE58" i="17"/>
  <c r="AE57" i="17"/>
  <c r="AE56" i="17"/>
  <c r="AE55" i="17"/>
  <c r="AE54" i="17"/>
  <c r="AE53" i="17"/>
  <c r="AE52" i="17"/>
  <c r="AE51" i="17"/>
  <c r="AE50" i="17"/>
  <c r="AE49" i="17"/>
  <c r="AE48" i="17"/>
  <c r="AE47" i="17"/>
  <c r="AE46" i="17"/>
  <c r="AE45" i="17"/>
  <c r="AE44" i="17"/>
  <c r="AE43" i="17"/>
  <c r="AE42" i="17"/>
  <c r="AE41" i="17"/>
  <c r="AE40" i="17"/>
  <c r="AE39" i="17"/>
  <c r="AE38" i="17"/>
  <c r="AE37" i="17"/>
  <c r="AE36" i="17"/>
  <c r="AE35" i="17"/>
  <c r="AE34" i="17"/>
  <c r="AE33" i="17"/>
  <c r="AE32" i="17"/>
  <c r="AE31" i="17"/>
  <c r="AE30" i="17"/>
  <c r="AE29" i="17"/>
  <c r="AE28" i="17"/>
  <c r="AE27" i="17"/>
  <c r="AE26" i="17"/>
  <c r="AE25" i="17"/>
  <c r="AE24" i="17"/>
  <c r="AE23" i="17"/>
  <c r="AE22" i="17"/>
  <c r="AE21" i="17"/>
  <c r="AE20" i="17"/>
  <c r="AE19" i="17"/>
  <c r="AE18" i="17"/>
  <c r="AE17" i="17"/>
  <c r="AE16" i="17"/>
  <c r="AE15" i="17"/>
  <c r="AE14" i="17"/>
  <c r="AE13" i="17"/>
  <c r="AE12" i="17"/>
  <c r="AE11" i="17"/>
  <c r="AE10" i="17"/>
  <c r="AE9" i="17"/>
  <c r="AE8" i="17"/>
  <c r="AE7" i="17"/>
  <c r="AE66" i="16"/>
  <c r="AE65" i="16"/>
  <c r="AE64" i="16"/>
  <c r="AE63" i="16"/>
  <c r="AE62" i="16"/>
  <c r="AE61" i="16"/>
  <c r="AE60" i="16"/>
  <c r="AE59" i="16"/>
  <c r="AE58" i="16"/>
  <c r="AE57" i="16"/>
  <c r="AE56" i="16"/>
  <c r="AE55" i="16"/>
  <c r="AE54" i="16"/>
  <c r="AE53" i="16"/>
  <c r="AE52" i="16"/>
  <c r="AE51" i="16"/>
  <c r="AE50" i="16"/>
  <c r="AE49" i="16"/>
  <c r="AE48" i="16"/>
  <c r="AE47" i="16"/>
  <c r="AE46" i="16"/>
  <c r="AE45" i="16"/>
  <c r="AE44" i="16"/>
  <c r="AE43" i="16"/>
  <c r="AE42" i="16"/>
  <c r="AE41" i="16"/>
  <c r="AE40" i="16"/>
  <c r="AE39" i="16"/>
  <c r="AE38" i="16"/>
  <c r="AE37" i="16"/>
  <c r="AE36" i="16"/>
  <c r="AE35" i="16"/>
  <c r="AE34" i="16"/>
  <c r="AE33" i="16"/>
  <c r="AE32" i="16"/>
  <c r="AE31" i="16"/>
  <c r="AE30" i="16"/>
  <c r="AE29" i="16"/>
  <c r="AE28" i="16"/>
  <c r="AE27" i="16"/>
  <c r="AE26" i="16"/>
  <c r="AE25" i="16"/>
  <c r="AE24" i="16"/>
  <c r="AE23" i="16"/>
  <c r="AE22" i="16"/>
  <c r="AE21" i="16"/>
  <c r="AE20" i="16"/>
  <c r="AE19" i="16"/>
  <c r="AE18" i="16"/>
  <c r="AE17" i="16"/>
  <c r="AE16" i="16"/>
  <c r="AE15" i="16"/>
  <c r="AE14" i="16"/>
  <c r="AE13" i="16"/>
  <c r="AE12" i="16"/>
  <c r="AE11" i="16"/>
  <c r="AE10" i="16"/>
  <c r="AE9" i="16"/>
  <c r="AE8" i="16"/>
  <c r="AE7" i="16"/>
  <c r="AE66" i="3" l="1"/>
  <c r="AE65" i="3"/>
  <c r="AE64" i="3"/>
  <c r="AE63" i="3"/>
  <c r="AE62" i="3"/>
  <c r="AE61" i="3"/>
  <c r="AE60" i="3"/>
  <c r="AE59" i="3"/>
  <c r="AE58" i="3"/>
  <c r="AE57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H24" i="6" l="1"/>
  <c r="E10" i="19"/>
  <c r="E11" i="19"/>
  <c r="E9" i="17"/>
  <c r="E9" i="18"/>
  <c r="E9" i="16"/>
  <c r="AC66" i="19"/>
  <c r="AC65" i="19"/>
  <c r="AC64" i="19"/>
  <c r="AC63" i="19"/>
  <c r="AC62" i="19"/>
  <c r="AC61" i="19"/>
  <c r="AC60" i="19"/>
  <c r="AC59" i="19"/>
  <c r="AC58" i="19"/>
  <c r="AC57" i="19"/>
  <c r="AC56" i="19"/>
  <c r="AC55" i="19"/>
  <c r="AC54" i="19"/>
  <c r="AC53" i="19"/>
  <c r="AC52" i="19"/>
  <c r="AC51" i="19"/>
  <c r="AC50" i="19"/>
  <c r="AC49" i="19"/>
  <c r="AC48" i="19"/>
  <c r="AC47" i="19"/>
  <c r="AC46" i="19"/>
  <c r="AC45" i="19"/>
  <c r="AC44" i="19"/>
  <c r="AC43" i="19"/>
  <c r="AC42" i="19"/>
  <c r="AC41" i="19"/>
  <c r="AC40" i="19"/>
  <c r="AC39" i="19"/>
  <c r="AC38" i="19"/>
  <c r="AC37" i="19"/>
  <c r="AC36" i="19"/>
  <c r="AC35" i="19"/>
  <c r="AC34" i="19"/>
  <c r="AC33" i="19"/>
  <c r="AC32" i="19"/>
  <c r="AC31" i="19"/>
  <c r="AC30" i="19"/>
  <c r="AC29" i="19"/>
  <c r="AC28" i="19"/>
  <c r="AC27" i="19"/>
  <c r="AC26" i="19"/>
  <c r="AC25" i="19"/>
  <c r="AC24" i="19"/>
  <c r="AC23" i="19"/>
  <c r="AC22" i="19"/>
  <c r="AC21" i="19"/>
  <c r="AC20" i="19"/>
  <c r="AC19" i="19"/>
  <c r="AC18" i="19"/>
  <c r="AC17" i="19"/>
  <c r="AC16" i="19"/>
  <c r="AC15" i="19"/>
  <c r="AC14" i="19"/>
  <c r="AC13" i="19"/>
  <c r="G13" i="19"/>
  <c r="F13" i="19"/>
  <c r="E13" i="19"/>
  <c r="AC12" i="19"/>
  <c r="G12" i="19"/>
  <c r="F12" i="19"/>
  <c r="E12" i="19"/>
  <c r="AC11" i="19"/>
  <c r="F11" i="19"/>
  <c r="AC10" i="19"/>
  <c r="F10" i="19"/>
  <c r="AC9" i="19"/>
  <c r="F9" i="19"/>
  <c r="E9" i="19"/>
  <c r="AC8" i="19"/>
  <c r="I8" i="19"/>
  <c r="I9" i="19" s="1"/>
  <c r="I10" i="19" s="1"/>
  <c r="I11" i="19" s="1"/>
  <c r="I12" i="19" s="1"/>
  <c r="I13" i="19" s="1"/>
  <c r="I14" i="19" s="1"/>
  <c r="I15" i="19" s="1"/>
  <c r="I16" i="19" s="1"/>
  <c r="I17" i="19" s="1"/>
  <c r="I18" i="19" s="1"/>
  <c r="I19" i="19" s="1"/>
  <c r="I20" i="19" s="1"/>
  <c r="I21" i="19" s="1"/>
  <c r="I22" i="19" s="1"/>
  <c r="I23" i="19" s="1"/>
  <c r="I24" i="19" s="1"/>
  <c r="AD7" i="19"/>
  <c r="AC7" i="19"/>
  <c r="AC66" i="18"/>
  <c r="AC65" i="18"/>
  <c r="AC64" i="18"/>
  <c r="AC63" i="18"/>
  <c r="AC62" i="18"/>
  <c r="AC61" i="18"/>
  <c r="AC60" i="18"/>
  <c r="AC59" i="18"/>
  <c r="AC58" i="18"/>
  <c r="AC57" i="18"/>
  <c r="AC56" i="18"/>
  <c r="AC55" i="18"/>
  <c r="AC54" i="18"/>
  <c r="AC53" i="18"/>
  <c r="AC52" i="18"/>
  <c r="AC51" i="18"/>
  <c r="AC50" i="18"/>
  <c r="AC49" i="18"/>
  <c r="AC48" i="18"/>
  <c r="AC47" i="18"/>
  <c r="AC46" i="18"/>
  <c r="AC45" i="18"/>
  <c r="AC44" i="18"/>
  <c r="AC43" i="18"/>
  <c r="AC42" i="18"/>
  <c r="AC41" i="18"/>
  <c r="AC40" i="18"/>
  <c r="AC39" i="18"/>
  <c r="AC38" i="18"/>
  <c r="AC37" i="18"/>
  <c r="AC36" i="18"/>
  <c r="AC35" i="18"/>
  <c r="AC34" i="18"/>
  <c r="AC33" i="18"/>
  <c r="AC32" i="18"/>
  <c r="AC31" i="18"/>
  <c r="AC30" i="18"/>
  <c r="AC29" i="18"/>
  <c r="AC28" i="18"/>
  <c r="AC27" i="18"/>
  <c r="AC26" i="18"/>
  <c r="AC25" i="18"/>
  <c r="AC24" i="18"/>
  <c r="AC23" i="18"/>
  <c r="AC22" i="18"/>
  <c r="AC21" i="18"/>
  <c r="AC20" i="18"/>
  <c r="AC19" i="18"/>
  <c r="AC18" i="18"/>
  <c r="AC17" i="18"/>
  <c r="AC16" i="18"/>
  <c r="AC15" i="18"/>
  <c r="AC14" i="18"/>
  <c r="AC13" i="18"/>
  <c r="G13" i="18"/>
  <c r="F13" i="18"/>
  <c r="E13" i="18"/>
  <c r="AC12" i="18"/>
  <c r="G12" i="18"/>
  <c r="F12" i="18"/>
  <c r="E12" i="18"/>
  <c r="AC11" i="18"/>
  <c r="F11" i="18"/>
  <c r="E11" i="18"/>
  <c r="AC10" i="18"/>
  <c r="F10" i="18"/>
  <c r="E10" i="18"/>
  <c r="AC9" i="18"/>
  <c r="F9" i="18"/>
  <c r="AC8" i="18"/>
  <c r="I8" i="18"/>
  <c r="I9" i="18" s="1"/>
  <c r="I10" i="18" s="1"/>
  <c r="I11" i="18" s="1"/>
  <c r="AD7" i="18"/>
  <c r="AC7" i="18"/>
  <c r="AC66" i="17"/>
  <c r="AC65" i="17"/>
  <c r="AC64" i="17"/>
  <c r="AC63" i="17"/>
  <c r="AC62" i="17"/>
  <c r="AC61" i="17"/>
  <c r="AC60" i="17"/>
  <c r="AC59" i="17"/>
  <c r="AC58" i="17"/>
  <c r="AC57" i="17"/>
  <c r="AC56" i="17"/>
  <c r="AC55" i="17"/>
  <c r="AC54" i="17"/>
  <c r="AC53" i="17"/>
  <c r="AC52" i="17"/>
  <c r="AC51" i="17"/>
  <c r="AC50" i="17"/>
  <c r="AC49" i="17"/>
  <c r="AC48" i="17"/>
  <c r="AC47" i="17"/>
  <c r="AC46" i="17"/>
  <c r="AC45" i="17"/>
  <c r="AC44" i="17"/>
  <c r="AC43" i="17"/>
  <c r="AC42" i="17"/>
  <c r="AC41" i="17"/>
  <c r="AC40" i="17"/>
  <c r="AC39" i="17"/>
  <c r="AC38" i="17"/>
  <c r="AC37" i="17"/>
  <c r="AC36" i="17"/>
  <c r="AC35" i="17"/>
  <c r="AC34" i="17"/>
  <c r="AC33" i="17"/>
  <c r="AC32" i="17"/>
  <c r="AC31" i="17"/>
  <c r="AC30" i="17"/>
  <c r="AC29" i="17"/>
  <c r="AC28" i="17"/>
  <c r="AC27" i="17"/>
  <c r="AC26" i="17"/>
  <c r="AC25" i="17"/>
  <c r="AC24" i="17"/>
  <c r="AC23" i="17"/>
  <c r="AC22" i="17"/>
  <c r="AC21" i="17"/>
  <c r="AC20" i="17"/>
  <c r="AC19" i="17"/>
  <c r="AC18" i="17"/>
  <c r="AC17" i="17"/>
  <c r="AC16" i="17"/>
  <c r="AC15" i="17"/>
  <c r="AC14" i="17"/>
  <c r="I14" i="17"/>
  <c r="I15" i="17" s="1"/>
  <c r="I16" i="17" s="1"/>
  <c r="I17" i="17" s="1"/>
  <c r="I18" i="17" s="1"/>
  <c r="I19" i="17" s="1"/>
  <c r="I20" i="17" s="1"/>
  <c r="I21" i="17" s="1"/>
  <c r="I22" i="17" s="1"/>
  <c r="I23" i="17" s="1"/>
  <c r="I24" i="17" s="1"/>
  <c r="I25" i="17" s="1"/>
  <c r="I26" i="17" s="1"/>
  <c r="I27" i="17" s="1"/>
  <c r="I28" i="17" s="1"/>
  <c r="I29" i="17" s="1"/>
  <c r="I30" i="17" s="1"/>
  <c r="I31" i="17" s="1"/>
  <c r="I32" i="17" s="1"/>
  <c r="I33" i="17" s="1"/>
  <c r="I34" i="17" s="1"/>
  <c r="I35" i="17" s="1"/>
  <c r="I36" i="17" s="1"/>
  <c r="I37" i="17" s="1"/>
  <c r="I38" i="17" s="1"/>
  <c r="I39" i="17" s="1"/>
  <c r="I40" i="17" s="1"/>
  <c r="I41" i="17" s="1"/>
  <c r="I42" i="17" s="1"/>
  <c r="I43" i="17" s="1"/>
  <c r="I44" i="17" s="1"/>
  <c r="I45" i="17" s="1"/>
  <c r="I46" i="17" s="1"/>
  <c r="I47" i="17" s="1"/>
  <c r="I48" i="17" s="1"/>
  <c r="I49" i="17" s="1"/>
  <c r="I50" i="17" s="1"/>
  <c r="I51" i="17" s="1"/>
  <c r="I52" i="17" s="1"/>
  <c r="I53" i="17" s="1"/>
  <c r="I54" i="17" s="1"/>
  <c r="I55" i="17" s="1"/>
  <c r="I56" i="17" s="1"/>
  <c r="I57" i="17" s="1"/>
  <c r="I58" i="17" s="1"/>
  <c r="I59" i="17" s="1"/>
  <c r="I60" i="17" s="1"/>
  <c r="I61" i="17" s="1"/>
  <c r="I62" i="17" s="1"/>
  <c r="I63" i="17" s="1"/>
  <c r="I64" i="17" s="1"/>
  <c r="I65" i="17" s="1"/>
  <c r="I66" i="17" s="1"/>
  <c r="AC13" i="17"/>
  <c r="G13" i="17"/>
  <c r="F13" i="17"/>
  <c r="E13" i="17"/>
  <c r="AC12" i="17"/>
  <c r="G12" i="17"/>
  <c r="F12" i="17"/>
  <c r="E12" i="17"/>
  <c r="AC11" i="17"/>
  <c r="F11" i="17"/>
  <c r="E11" i="17"/>
  <c r="AC10" i="17"/>
  <c r="F10" i="17"/>
  <c r="E10" i="17"/>
  <c r="AC9" i="17"/>
  <c r="F9" i="17"/>
  <c r="AC8" i="17"/>
  <c r="I8" i="17"/>
  <c r="I9" i="17" s="1"/>
  <c r="I10" i="17" s="1"/>
  <c r="I11" i="17" s="1"/>
  <c r="I12" i="17" s="1"/>
  <c r="I13" i="17" s="1"/>
  <c r="AD7" i="17"/>
  <c r="AC7" i="17"/>
  <c r="AC66" i="16"/>
  <c r="AC65" i="16"/>
  <c r="AC64" i="16"/>
  <c r="AC63" i="16"/>
  <c r="AC62" i="16"/>
  <c r="AC61" i="16"/>
  <c r="AC60" i="16"/>
  <c r="AC59" i="16"/>
  <c r="AC58" i="16"/>
  <c r="AC57" i="16"/>
  <c r="AC56" i="16"/>
  <c r="AC55" i="16"/>
  <c r="AC54" i="16"/>
  <c r="AC53" i="16"/>
  <c r="AC52" i="16"/>
  <c r="AC51" i="16"/>
  <c r="AC50" i="16"/>
  <c r="AC49" i="16"/>
  <c r="AC48" i="16"/>
  <c r="AC47" i="16"/>
  <c r="AC46" i="16"/>
  <c r="AC45" i="16"/>
  <c r="AC44" i="16"/>
  <c r="AC43" i="16"/>
  <c r="AC42" i="16"/>
  <c r="AC41" i="16"/>
  <c r="AC40" i="16"/>
  <c r="AC39" i="16"/>
  <c r="AC38" i="16"/>
  <c r="AC37" i="16"/>
  <c r="AC36" i="16"/>
  <c r="AC35" i="16"/>
  <c r="AC34" i="16"/>
  <c r="AC33" i="16"/>
  <c r="AC32" i="16"/>
  <c r="AC31" i="16"/>
  <c r="AC30" i="16"/>
  <c r="AC29" i="16"/>
  <c r="AC28" i="16"/>
  <c r="AC27" i="16"/>
  <c r="AC26" i="16"/>
  <c r="AC25" i="16"/>
  <c r="AC24" i="16"/>
  <c r="AC23" i="16"/>
  <c r="AC22" i="16"/>
  <c r="AC21" i="16"/>
  <c r="AC20" i="16"/>
  <c r="AC19" i="16"/>
  <c r="AC18" i="16"/>
  <c r="AC17" i="16"/>
  <c r="AC16" i="16"/>
  <c r="AC15" i="16"/>
  <c r="AC14" i="16"/>
  <c r="AC13" i="16"/>
  <c r="G13" i="16"/>
  <c r="F13" i="16"/>
  <c r="E13" i="16"/>
  <c r="AC12" i="16"/>
  <c r="G12" i="16"/>
  <c r="F12" i="16"/>
  <c r="E12" i="16"/>
  <c r="AC11" i="16"/>
  <c r="F11" i="16"/>
  <c r="E11" i="16"/>
  <c r="AC10" i="16"/>
  <c r="F10" i="16"/>
  <c r="E10" i="16"/>
  <c r="AC9" i="16"/>
  <c r="I9" i="16"/>
  <c r="I10" i="16" s="1"/>
  <c r="I11" i="16" s="1"/>
  <c r="I12" i="16" s="1"/>
  <c r="I13" i="16" s="1"/>
  <c r="I14" i="16" s="1"/>
  <c r="I15" i="16" s="1"/>
  <c r="I16" i="16" s="1"/>
  <c r="I17" i="16" s="1"/>
  <c r="I18" i="16" s="1"/>
  <c r="I19" i="16" s="1"/>
  <c r="I20" i="16" s="1"/>
  <c r="I21" i="16" s="1"/>
  <c r="I22" i="16" s="1"/>
  <c r="I23" i="16" s="1"/>
  <c r="I24" i="16" s="1"/>
  <c r="I25" i="16" s="1"/>
  <c r="I26" i="16" s="1"/>
  <c r="I27" i="16" s="1"/>
  <c r="I28" i="16" s="1"/>
  <c r="I29" i="16" s="1"/>
  <c r="I30" i="16" s="1"/>
  <c r="I31" i="16" s="1"/>
  <c r="I32" i="16" s="1"/>
  <c r="I33" i="16" s="1"/>
  <c r="I34" i="16" s="1"/>
  <c r="I35" i="16" s="1"/>
  <c r="I36" i="16" s="1"/>
  <c r="I37" i="16" s="1"/>
  <c r="I38" i="16" s="1"/>
  <c r="I39" i="16" s="1"/>
  <c r="I40" i="16" s="1"/>
  <c r="I41" i="16" s="1"/>
  <c r="I42" i="16" s="1"/>
  <c r="I43" i="16" s="1"/>
  <c r="I44" i="16" s="1"/>
  <c r="I45" i="16" s="1"/>
  <c r="I46" i="16" s="1"/>
  <c r="I47" i="16" s="1"/>
  <c r="I48" i="16" s="1"/>
  <c r="I49" i="16" s="1"/>
  <c r="I50" i="16" s="1"/>
  <c r="I51" i="16" s="1"/>
  <c r="I52" i="16" s="1"/>
  <c r="I53" i="16" s="1"/>
  <c r="I54" i="16" s="1"/>
  <c r="I55" i="16" s="1"/>
  <c r="I56" i="16" s="1"/>
  <c r="I57" i="16" s="1"/>
  <c r="I58" i="16" s="1"/>
  <c r="I59" i="16" s="1"/>
  <c r="I60" i="16" s="1"/>
  <c r="I61" i="16" s="1"/>
  <c r="I62" i="16" s="1"/>
  <c r="I63" i="16" s="1"/>
  <c r="I64" i="16" s="1"/>
  <c r="I65" i="16" s="1"/>
  <c r="I66" i="16" s="1"/>
  <c r="F9" i="16"/>
  <c r="AC8" i="16"/>
  <c r="I8" i="16"/>
  <c r="AD7" i="16"/>
  <c r="AC7" i="16"/>
  <c r="AC7" i="3"/>
  <c r="F9" i="3"/>
  <c r="AD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G13" i="3"/>
  <c r="G12" i="3"/>
  <c r="F13" i="3"/>
  <c r="F12" i="3"/>
  <c r="F11" i="3"/>
  <c r="F10" i="3"/>
  <c r="E13" i="3"/>
  <c r="E12" i="3"/>
  <c r="E11" i="3"/>
  <c r="E10" i="3"/>
  <c r="E9" i="3"/>
  <c r="E18" i="6"/>
  <c r="E13" i="6"/>
  <c r="H30" i="6"/>
  <c r="H29" i="6"/>
  <c r="H25" i="6"/>
  <c r="G24" i="6"/>
  <c r="F24" i="6"/>
  <c r="E8" i="6"/>
  <c r="G30" i="6"/>
  <c r="G29" i="6"/>
  <c r="F29" i="6"/>
  <c r="H28" i="6"/>
  <c r="G28" i="6"/>
  <c r="F28" i="6"/>
  <c r="E28" i="6"/>
  <c r="G25" i="6"/>
  <c r="H23" i="6"/>
  <c r="G23" i="6"/>
  <c r="F23" i="6"/>
  <c r="E23" i="6"/>
  <c r="H20" i="6"/>
  <c r="G20" i="6"/>
  <c r="H19" i="6"/>
  <c r="G19" i="6"/>
  <c r="F19" i="6"/>
  <c r="H18" i="6"/>
  <c r="G18" i="6"/>
  <c r="F18" i="6"/>
  <c r="H15" i="6"/>
  <c r="G15" i="6"/>
  <c r="H14" i="6"/>
  <c r="G14" i="6"/>
  <c r="F14" i="6"/>
  <c r="H13" i="6"/>
  <c r="G13" i="6"/>
  <c r="F13" i="6"/>
  <c r="H10" i="6"/>
  <c r="G10" i="6"/>
  <c r="H9" i="6"/>
  <c r="G9" i="6"/>
  <c r="F9" i="6"/>
  <c r="H8" i="6"/>
  <c r="G8" i="6"/>
  <c r="F8" i="6"/>
  <c r="H5" i="6"/>
  <c r="G5" i="6"/>
  <c r="H4" i="6"/>
  <c r="G4" i="6"/>
  <c r="F4" i="6"/>
  <c r="H3" i="6"/>
  <c r="G3" i="6"/>
  <c r="F3" i="6"/>
  <c r="E3" i="6"/>
  <c r="B38" i="1"/>
  <c r="P9" i="19" s="1"/>
  <c r="T9" i="19" s="1"/>
  <c r="B41" i="1" a="1"/>
  <c r="B41" i="1" s="1"/>
  <c r="I25" i="19" l="1"/>
  <c r="I26" i="19" s="1"/>
  <c r="I27" i="19" s="1"/>
  <c r="I28" i="19" s="1"/>
  <c r="I29" i="19" s="1"/>
  <c r="I30" i="19" s="1"/>
  <c r="I31" i="19" s="1"/>
  <c r="I32" i="19" s="1"/>
  <c r="I33" i="19" s="1"/>
  <c r="I34" i="19" s="1"/>
  <c r="I35" i="19" s="1"/>
  <c r="I36" i="19" s="1"/>
  <c r="I37" i="19" s="1"/>
  <c r="I38" i="19" s="1"/>
  <c r="I39" i="19" s="1"/>
  <c r="I40" i="19" s="1"/>
  <c r="I41" i="19" s="1"/>
  <c r="I42" i="19" s="1"/>
  <c r="I43" i="19" s="1"/>
  <c r="I44" i="19" s="1"/>
  <c r="P24" i="19"/>
  <c r="T24" i="19" s="1"/>
  <c r="P12" i="17"/>
  <c r="T12" i="17" s="1"/>
  <c r="P8" i="19"/>
  <c r="T8" i="19" s="1"/>
  <c r="P35" i="19"/>
  <c r="T35" i="19" s="1"/>
  <c r="P30" i="19"/>
  <c r="T30" i="19" s="1"/>
  <c r="P25" i="19"/>
  <c r="T25" i="19" s="1"/>
  <c r="P20" i="19"/>
  <c r="T20" i="19" s="1"/>
  <c r="P13" i="19"/>
  <c r="T13" i="19" s="1"/>
  <c r="P41" i="19"/>
  <c r="T41" i="19" s="1"/>
  <c r="P36" i="19"/>
  <c r="T36" i="19" s="1"/>
  <c r="P31" i="19"/>
  <c r="T31" i="19" s="1"/>
  <c r="P26" i="19"/>
  <c r="T26" i="19" s="1"/>
  <c r="P21" i="19"/>
  <c r="T21" i="19" s="1"/>
  <c r="P14" i="19"/>
  <c r="T14" i="19" s="1"/>
  <c r="P43" i="19"/>
  <c r="T43" i="19" s="1"/>
  <c r="P38" i="19"/>
  <c r="T38" i="19" s="1"/>
  <c r="P33" i="19"/>
  <c r="T33" i="19" s="1"/>
  <c r="P28" i="19"/>
  <c r="T28" i="19" s="1"/>
  <c r="P23" i="19"/>
  <c r="T23" i="19" s="1"/>
  <c r="P18" i="19"/>
  <c r="T18" i="19" s="1"/>
  <c r="P16" i="19"/>
  <c r="T16" i="19" s="1"/>
  <c r="P10" i="19"/>
  <c r="T10" i="19" s="1"/>
  <c r="P12" i="19"/>
  <c r="T12" i="19" s="1"/>
  <c r="P39" i="19"/>
  <c r="T39" i="19" s="1"/>
  <c r="P42" i="19"/>
  <c r="T42" i="19" s="1"/>
  <c r="P32" i="19"/>
  <c r="T32" i="19" s="1"/>
  <c r="P19" i="19"/>
  <c r="T19" i="19" s="1"/>
  <c r="P15" i="19"/>
  <c r="T15" i="19" s="1"/>
  <c r="P27" i="19"/>
  <c r="T27" i="19" s="1"/>
  <c r="P34" i="19"/>
  <c r="T34" i="19" s="1"/>
  <c r="P7" i="19"/>
  <c r="T7" i="19" s="1"/>
  <c r="P11" i="19"/>
  <c r="T11" i="19" s="1"/>
  <c r="P17" i="19"/>
  <c r="T17" i="19" s="1"/>
  <c r="P22" i="19"/>
  <c r="T22" i="19" s="1"/>
  <c r="I12" i="18"/>
  <c r="I13" i="18" s="1"/>
  <c r="I14" i="18" s="1"/>
  <c r="I15" i="18" s="1"/>
  <c r="P11" i="18"/>
  <c r="T11" i="18" s="1"/>
  <c r="P12" i="18"/>
  <c r="T12" i="18" s="1"/>
  <c r="P14" i="18"/>
  <c r="T14" i="18" s="1"/>
  <c r="P7" i="18"/>
  <c r="T7" i="18" s="1"/>
  <c r="P9" i="18"/>
  <c r="T9" i="18" s="1"/>
  <c r="P10" i="18"/>
  <c r="T10" i="18" s="1"/>
  <c r="P13" i="18"/>
  <c r="T13" i="18" s="1"/>
  <c r="P8" i="18"/>
  <c r="T8" i="18" s="1"/>
  <c r="P8" i="17"/>
  <c r="T8" i="17" s="1"/>
  <c r="P65" i="17"/>
  <c r="T65" i="17" s="1"/>
  <c r="P60" i="17"/>
  <c r="T60" i="17" s="1"/>
  <c r="P55" i="17"/>
  <c r="T55" i="17" s="1"/>
  <c r="P50" i="17"/>
  <c r="T50" i="17" s="1"/>
  <c r="P45" i="17"/>
  <c r="T45" i="17" s="1"/>
  <c r="P40" i="17"/>
  <c r="T40" i="17" s="1"/>
  <c r="P35" i="17"/>
  <c r="T35" i="17" s="1"/>
  <c r="P30" i="17"/>
  <c r="T30" i="17" s="1"/>
  <c r="P25" i="17"/>
  <c r="T25" i="17" s="1"/>
  <c r="P20" i="17"/>
  <c r="T20" i="17" s="1"/>
  <c r="P13" i="17"/>
  <c r="T13" i="17" s="1"/>
  <c r="P10" i="17"/>
  <c r="T10" i="17" s="1"/>
  <c r="P66" i="17"/>
  <c r="T66" i="17" s="1"/>
  <c r="P61" i="17"/>
  <c r="T61" i="17" s="1"/>
  <c r="P56" i="17"/>
  <c r="T56" i="17" s="1"/>
  <c r="P51" i="17"/>
  <c r="T51" i="17" s="1"/>
  <c r="P46" i="17"/>
  <c r="T46" i="17" s="1"/>
  <c r="P41" i="17"/>
  <c r="T41" i="17" s="1"/>
  <c r="P36" i="17"/>
  <c r="T36" i="17" s="1"/>
  <c r="P31" i="17"/>
  <c r="T31" i="17" s="1"/>
  <c r="P26" i="17"/>
  <c r="T26" i="17" s="1"/>
  <c r="P21" i="17"/>
  <c r="T21" i="17" s="1"/>
  <c r="P49" i="17"/>
  <c r="T49" i="17" s="1"/>
  <c r="P42" i="17"/>
  <c r="T42" i="17" s="1"/>
  <c r="P24" i="17"/>
  <c r="T24" i="17" s="1"/>
  <c r="P11" i="17"/>
  <c r="T11" i="17" s="1"/>
  <c r="P33" i="17"/>
  <c r="T33" i="17" s="1"/>
  <c r="P58" i="17"/>
  <c r="T58" i="17" s="1"/>
  <c r="P59" i="17"/>
  <c r="T59" i="17" s="1"/>
  <c r="P52" i="17"/>
  <c r="T52" i="17" s="1"/>
  <c r="P34" i="17"/>
  <c r="T34" i="17" s="1"/>
  <c r="P27" i="17"/>
  <c r="T27" i="17" s="1"/>
  <c r="P15" i="17"/>
  <c r="T15" i="17" s="1"/>
  <c r="P43" i="17"/>
  <c r="T43" i="17" s="1"/>
  <c r="P18" i="17"/>
  <c r="T18" i="17" s="1"/>
  <c r="P17" i="17"/>
  <c r="T17" i="17" s="1"/>
  <c r="P62" i="17"/>
  <c r="T62" i="17" s="1"/>
  <c r="P44" i="17"/>
  <c r="T44" i="17" s="1"/>
  <c r="P37" i="17"/>
  <c r="T37" i="17" s="1"/>
  <c r="P19" i="17"/>
  <c r="T19" i="17" s="1"/>
  <c r="P16" i="17"/>
  <c r="T16" i="17" s="1"/>
  <c r="P14" i="17"/>
  <c r="T14" i="17" s="1"/>
  <c r="P7" i="17"/>
  <c r="T7" i="17" s="1"/>
  <c r="P53" i="17"/>
  <c r="T53" i="17" s="1"/>
  <c r="P28" i="17"/>
  <c r="T28" i="17" s="1"/>
  <c r="P54" i="17"/>
  <c r="T54" i="17" s="1"/>
  <c r="P47" i="17"/>
  <c r="T47" i="17" s="1"/>
  <c r="P29" i="17"/>
  <c r="T29" i="17" s="1"/>
  <c r="P22" i="17"/>
  <c r="T22" i="17" s="1"/>
  <c r="P63" i="17"/>
  <c r="T63" i="17" s="1"/>
  <c r="P38" i="17"/>
  <c r="T38" i="17" s="1"/>
  <c r="P64" i="17"/>
  <c r="T64" i="17" s="1"/>
  <c r="P57" i="17"/>
  <c r="T57" i="17" s="1"/>
  <c r="P39" i="17"/>
  <c r="T39" i="17" s="1"/>
  <c r="P32" i="17"/>
  <c r="T32" i="17" s="1"/>
  <c r="P48" i="17"/>
  <c r="T48" i="17" s="1"/>
  <c r="P23" i="17"/>
  <c r="T23" i="17" s="1"/>
  <c r="P9" i="17"/>
  <c r="T9" i="17" s="1"/>
  <c r="P10" i="16"/>
  <c r="T10" i="16" s="1"/>
  <c r="P8" i="16"/>
  <c r="T8" i="16" s="1"/>
  <c r="P7" i="3"/>
  <c r="T7" i="3" s="1"/>
  <c r="V7" i="3" s="1"/>
  <c r="B39" i="1"/>
  <c r="P65" i="16"/>
  <c r="T65" i="16" s="1"/>
  <c r="P60" i="16"/>
  <c r="T60" i="16" s="1"/>
  <c r="P55" i="16"/>
  <c r="T55" i="16" s="1"/>
  <c r="P50" i="16"/>
  <c r="T50" i="16" s="1"/>
  <c r="P45" i="16"/>
  <c r="T45" i="16" s="1"/>
  <c r="P40" i="16"/>
  <c r="T40" i="16" s="1"/>
  <c r="P35" i="16"/>
  <c r="T35" i="16" s="1"/>
  <c r="P30" i="16"/>
  <c r="T30" i="16" s="1"/>
  <c r="P25" i="16"/>
  <c r="T25" i="16" s="1"/>
  <c r="P20" i="16"/>
  <c r="T20" i="16" s="1"/>
  <c r="P13" i="16"/>
  <c r="T13" i="16" s="1"/>
  <c r="P62" i="16"/>
  <c r="T62" i="16" s="1"/>
  <c r="P57" i="16"/>
  <c r="T57" i="16" s="1"/>
  <c r="P52" i="16"/>
  <c r="T52" i="16" s="1"/>
  <c r="P47" i="16"/>
  <c r="T47" i="16" s="1"/>
  <c r="P42" i="16"/>
  <c r="T42" i="16" s="1"/>
  <c r="P37" i="16"/>
  <c r="T37" i="16" s="1"/>
  <c r="P32" i="16"/>
  <c r="T32" i="16" s="1"/>
  <c r="P27" i="16"/>
  <c r="T27" i="16" s="1"/>
  <c r="P22" i="16"/>
  <c r="T22" i="16" s="1"/>
  <c r="P15" i="16"/>
  <c r="T15" i="16" s="1"/>
  <c r="P64" i="16"/>
  <c r="T64" i="16" s="1"/>
  <c r="P59" i="16"/>
  <c r="T59" i="16" s="1"/>
  <c r="P54" i="16"/>
  <c r="T54" i="16" s="1"/>
  <c r="P49" i="16"/>
  <c r="T49" i="16" s="1"/>
  <c r="P44" i="16"/>
  <c r="T44" i="16" s="1"/>
  <c r="P39" i="16"/>
  <c r="T39" i="16" s="1"/>
  <c r="P34" i="16"/>
  <c r="T34" i="16" s="1"/>
  <c r="P29" i="16"/>
  <c r="T29" i="16" s="1"/>
  <c r="P24" i="16"/>
  <c r="T24" i="16" s="1"/>
  <c r="P19" i="16"/>
  <c r="T19" i="16" s="1"/>
  <c r="P17" i="16"/>
  <c r="T17" i="16" s="1"/>
  <c r="P11" i="16"/>
  <c r="T11" i="16" s="1"/>
  <c r="P66" i="16"/>
  <c r="T66" i="16" s="1"/>
  <c r="P61" i="16"/>
  <c r="T61" i="16" s="1"/>
  <c r="P56" i="16"/>
  <c r="T56" i="16" s="1"/>
  <c r="P51" i="16"/>
  <c r="T51" i="16" s="1"/>
  <c r="P46" i="16"/>
  <c r="T46" i="16" s="1"/>
  <c r="P41" i="16"/>
  <c r="T41" i="16" s="1"/>
  <c r="P36" i="16"/>
  <c r="T36" i="16" s="1"/>
  <c r="P31" i="16"/>
  <c r="T31" i="16" s="1"/>
  <c r="P26" i="16"/>
  <c r="T26" i="16" s="1"/>
  <c r="P21" i="16"/>
  <c r="T21" i="16" s="1"/>
  <c r="P63" i="16"/>
  <c r="T63" i="16" s="1"/>
  <c r="P58" i="16"/>
  <c r="T58" i="16" s="1"/>
  <c r="P53" i="16"/>
  <c r="T53" i="16" s="1"/>
  <c r="P48" i="16"/>
  <c r="T48" i="16" s="1"/>
  <c r="P43" i="16"/>
  <c r="T43" i="16" s="1"/>
  <c r="P38" i="16"/>
  <c r="T38" i="16" s="1"/>
  <c r="P33" i="16"/>
  <c r="T33" i="16" s="1"/>
  <c r="P28" i="16"/>
  <c r="T28" i="16" s="1"/>
  <c r="P23" i="16"/>
  <c r="T23" i="16" s="1"/>
  <c r="P18" i="16"/>
  <c r="T18" i="16" s="1"/>
  <c r="P16" i="16"/>
  <c r="T16" i="16" s="1"/>
  <c r="P9" i="16"/>
  <c r="T9" i="16" s="1"/>
  <c r="P12" i="16"/>
  <c r="T12" i="16" s="1"/>
  <c r="P7" i="16"/>
  <c r="T7" i="16" s="1"/>
  <c r="P14" i="16"/>
  <c r="T14" i="16" s="1"/>
  <c r="B40" i="1"/>
  <c r="E24" i="6"/>
  <c r="F30" i="6"/>
  <c r="D3" i="6"/>
  <c r="E14" i="6"/>
  <c r="E4" i="6"/>
  <c r="E19" i="6"/>
  <c r="E29" i="6"/>
  <c r="F5" i="6"/>
  <c r="F20" i="6"/>
  <c r="E9" i="6"/>
  <c r="F15" i="6"/>
  <c r="D8" i="6"/>
  <c r="D28" i="6"/>
  <c r="F25" i="6"/>
  <c r="F10" i="6"/>
  <c r="D18" i="6"/>
  <c r="D23" i="6"/>
  <c r="D13" i="6"/>
  <c r="C18" i="19" l="1" a="1"/>
  <c r="C18" i="19" s="1"/>
  <c r="C18" i="17" a="1"/>
  <c r="C18" i="17" s="1"/>
  <c r="C18" i="18" a="1"/>
  <c r="C18" i="18" s="1"/>
  <c r="G10" i="19"/>
  <c r="G11" i="19"/>
  <c r="I45" i="19"/>
  <c r="P44" i="19"/>
  <c r="T44" i="19" s="1"/>
  <c r="X7" i="19"/>
  <c r="V7" i="19"/>
  <c r="P40" i="19"/>
  <c r="T40" i="19" s="1"/>
  <c r="P37" i="19"/>
  <c r="T37" i="19" s="1"/>
  <c r="P29" i="19"/>
  <c r="T29" i="19" s="1"/>
  <c r="X7" i="18"/>
  <c r="V7" i="18"/>
  <c r="G10" i="17"/>
  <c r="G10" i="18"/>
  <c r="G11" i="17"/>
  <c r="G11" i="18"/>
  <c r="P15" i="18"/>
  <c r="T15" i="18" s="1"/>
  <c r="I16" i="18"/>
  <c r="X7" i="17"/>
  <c r="V7" i="17"/>
  <c r="C18" i="16" a="1"/>
  <c r="C18" i="16" s="1"/>
  <c r="G11" i="3"/>
  <c r="G11" i="16"/>
  <c r="X7" i="16"/>
  <c r="V7" i="16"/>
  <c r="X7" i="3"/>
  <c r="C18" i="3" a="1"/>
  <c r="G10" i="16"/>
  <c r="G10" i="3"/>
  <c r="Z7" i="19" l="1"/>
  <c r="Z7" i="18"/>
  <c r="Z7" i="17"/>
  <c r="I46" i="19"/>
  <c r="P45" i="19"/>
  <c r="T45" i="19" s="1"/>
  <c r="N8" i="19"/>
  <c r="AD8" i="19" s="1"/>
  <c r="J8" i="19"/>
  <c r="L8" i="19"/>
  <c r="M8" i="19"/>
  <c r="K8" i="19"/>
  <c r="N8" i="18"/>
  <c r="AD8" i="18" s="1"/>
  <c r="M8" i="18"/>
  <c r="L8" i="18"/>
  <c r="K8" i="18"/>
  <c r="J8" i="18"/>
  <c r="I17" i="18"/>
  <c r="P16" i="18"/>
  <c r="T16" i="18" s="1"/>
  <c r="Z7" i="16"/>
  <c r="Z7" i="3"/>
  <c r="N8" i="17"/>
  <c r="AD8" i="17" s="1"/>
  <c r="M8" i="17"/>
  <c r="L8" i="17"/>
  <c r="K8" i="17"/>
  <c r="J8" i="17"/>
  <c r="C18" i="3"/>
  <c r="J8" i="3" s="1"/>
  <c r="N8" i="3"/>
  <c r="AD8" i="3" s="1"/>
  <c r="K8" i="3"/>
  <c r="M8" i="3"/>
  <c r="L8" i="3"/>
  <c r="N8" i="16"/>
  <c r="J8" i="16"/>
  <c r="L8" i="16"/>
  <c r="K8" i="16"/>
  <c r="M8" i="16"/>
  <c r="AD8" i="16" l="1"/>
  <c r="M9" i="19"/>
  <c r="L9" i="19"/>
  <c r="J9" i="19"/>
  <c r="N9" i="19"/>
  <c r="AD9" i="19" s="1"/>
  <c r="K9" i="19"/>
  <c r="Z8" i="19"/>
  <c r="X8" i="19"/>
  <c r="V8" i="19"/>
  <c r="I47" i="19"/>
  <c r="P46" i="19"/>
  <c r="T46" i="19" s="1"/>
  <c r="I18" i="18"/>
  <c r="P17" i="18"/>
  <c r="T17" i="18" s="1"/>
  <c r="N9" i="18"/>
  <c r="AD9" i="18" s="1"/>
  <c r="M9" i="18"/>
  <c r="L9" i="18"/>
  <c r="K9" i="18"/>
  <c r="J9" i="18"/>
  <c r="X8" i="18"/>
  <c r="Z8" i="18"/>
  <c r="V8" i="18"/>
  <c r="N9" i="17"/>
  <c r="AD9" i="17" s="1"/>
  <c r="M9" i="17"/>
  <c r="L9" i="17"/>
  <c r="K9" i="17"/>
  <c r="J9" i="17"/>
  <c r="Z8" i="17"/>
  <c r="X8" i="17"/>
  <c r="V8" i="17"/>
  <c r="M9" i="3"/>
  <c r="J9" i="3"/>
  <c r="L9" i="3"/>
  <c r="K9" i="3"/>
  <c r="N9" i="3"/>
  <c r="AD9" i="3" s="1"/>
  <c r="N9" i="16"/>
  <c r="AD9" i="16" s="1"/>
  <c r="M9" i="16"/>
  <c r="L9" i="16"/>
  <c r="K9" i="16"/>
  <c r="J9" i="16"/>
  <c r="Z8" i="16"/>
  <c r="V8" i="16"/>
  <c r="X8" i="16"/>
  <c r="I48" i="19" l="1"/>
  <c r="P47" i="19"/>
  <c r="T47" i="19" s="1"/>
  <c r="K10" i="19"/>
  <c r="J10" i="19"/>
  <c r="N10" i="19"/>
  <c r="AD10" i="19" s="1"/>
  <c r="M10" i="19"/>
  <c r="L10" i="19"/>
  <c r="Z9" i="19"/>
  <c r="X9" i="19"/>
  <c r="V9" i="19"/>
  <c r="I19" i="18"/>
  <c r="P18" i="18"/>
  <c r="T18" i="18" s="1"/>
  <c r="M10" i="18"/>
  <c r="L10" i="18"/>
  <c r="K10" i="18"/>
  <c r="J10" i="18"/>
  <c r="N10" i="18"/>
  <c r="AD10" i="18" s="1"/>
  <c r="Z9" i="18"/>
  <c r="V9" i="18"/>
  <c r="X9" i="18"/>
  <c r="N10" i="17"/>
  <c r="AD10" i="17" s="1"/>
  <c r="M10" i="17"/>
  <c r="L10" i="17"/>
  <c r="K10" i="17"/>
  <c r="J10" i="17"/>
  <c r="Z9" i="17"/>
  <c r="X9" i="17"/>
  <c r="V9" i="17"/>
  <c r="J10" i="3"/>
  <c r="N10" i="3"/>
  <c r="AD10" i="3" s="1"/>
  <c r="M10" i="3"/>
  <c r="K10" i="3"/>
  <c r="L10" i="3"/>
  <c r="L10" i="16"/>
  <c r="N10" i="16"/>
  <c r="AD10" i="16" s="1"/>
  <c r="M10" i="16"/>
  <c r="K10" i="16"/>
  <c r="J10" i="16"/>
  <c r="V9" i="16"/>
  <c r="X9" i="16"/>
  <c r="Z9" i="16"/>
  <c r="J11" i="19" l="1"/>
  <c r="N11" i="19"/>
  <c r="AD11" i="19" s="1"/>
  <c r="M11" i="19"/>
  <c r="K11" i="19"/>
  <c r="L11" i="19"/>
  <c r="V10" i="19"/>
  <c r="X10" i="19"/>
  <c r="Z10" i="19"/>
  <c r="I49" i="19"/>
  <c r="P48" i="19"/>
  <c r="T48" i="19" s="1"/>
  <c r="I20" i="18"/>
  <c r="P19" i="18"/>
  <c r="T19" i="18" s="1"/>
  <c r="J11" i="18"/>
  <c r="N11" i="18"/>
  <c r="AD11" i="18" s="1"/>
  <c r="M11" i="18"/>
  <c r="L11" i="18"/>
  <c r="K11" i="18"/>
  <c r="Z10" i="18"/>
  <c r="X10" i="18"/>
  <c r="V10" i="18"/>
  <c r="J11" i="17"/>
  <c r="N11" i="17"/>
  <c r="AD11" i="17" s="1"/>
  <c r="M11" i="17"/>
  <c r="L11" i="17"/>
  <c r="K11" i="17"/>
  <c r="V10" i="17"/>
  <c r="Z10" i="17"/>
  <c r="X10" i="17"/>
  <c r="N11" i="3"/>
  <c r="AD11" i="3" s="1"/>
  <c r="J11" i="3"/>
  <c r="L11" i="3"/>
  <c r="K11" i="3"/>
  <c r="M11" i="3"/>
  <c r="K11" i="16"/>
  <c r="N11" i="16"/>
  <c r="AD11" i="16" s="1"/>
  <c r="M11" i="16"/>
  <c r="L11" i="16"/>
  <c r="J11" i="16"/>
  <c r="Z10" i="16"/>
  <c r="X10" i="16"/>
  <c r="V10" i="16"/>
  <c r="I50" i="19" l="1"/>
  <c r="P49" i="19"/>
  <c r="T49" i="19" s="1"/>
  <c r="M12" i="19"/>
  <c r="L12" i="19"/>
  <c r="N12" i="19"/>
  <c r="AD12" i="19" s="1"/>
  <c r="K12" i="19"/>
  <c r="J12" i="19"/>
  <c r="Z11" i="19"/>
  <c r="X11" i="19"/>
  <c r="V11" i="19"/>
  <c r="M12" i="18"/>
  <c r="L12" i="18"/>
  <c r="K12" i="18"/>
  <c r="J12" i="18"/>
  <c r="N12" i="18"/>
  <c r="AD12" i="18" s="1"/>
  <c r="Z11" i="18"/>
  <c r="X11" i="18"/>
  <c r="V11" i="18"/>
  <c r="I21" i="18"/>
  <c r="P20" i="18"/>
  <c r="T20" i="18" s="1"/>
  <c r="M12" i="17"/>
  <c r="L12" i="17"/>
  <c r="K12" i="17"/>
  <c r="J12" i="17"/>
  <c r="N12" i="17"/>
  <c r="AD12" i="17" s="1"/>
  <c r="X11" i="17"/>
  <c r="Z11" i="17"/>
  <c r="V11" i="17"/>
  <c r="M12" i="3"/>
  <c r="N12" i="3"/>
  <c r="AD12" i="3" s="1"/>
  <c r="L12" i="3"/>
  <c r="J12" i="3"/>
  <c r="K12" i="3"/>
  <c r="L12" i="16"/>
  <c r="N12" i="16"/>
  <c r="AD12" i="16" s="1"/>
  <c r="M12" i="16"/>
  <c r="K12" i="16"/>
  <c r="J12" i="16"/>
  <c r="V11" i="16"/>
  <c r="Z11" i="16"/>
  <c r="X11" i="16"/>
  <c r="J13" i="19" l="1"/>
  <c r="L13" i="19"/>
  <c r="K13" i="19"/>
  <c r="N13" i="19"/>
  <c r="AD13" i="19" s="1"/>
  <c r="M13" i="19"/>
  <c r="V12" i="19"/>
  <c r="Z12" i="19"/>
  <c r="X12" i="19"/>
  <c r="I51" i="19"/>
  <c r="P50" i="19"/>
  <c r="T50" i="19" s="1"/>
  <c r="N13" i="18"/>
  <c r="AD13" i="18" s="1"/>
  <c r="M13" i="18"/>
  <c r="L13" i="18"/>
  <c r="K13" i="18"/>
  <c r="J13" i="18"/>
  <c r="X12" i="18"/>
  <c r="Z12" i="18"/>
  <c r="V12" i="18"/>
  <c r="I22" i="18"/>
  <c r="P21" i="18"/>
  <c r="T21" i="18" s="1"/>
  <c r="N13" i="17"/>
  <c r="AD13" i="17" s="1"/>
  <c r="M13" i="17"/>
  <c r="L13" i="17"/>
  <c r="K13" i="17"/>
  <c r="J13" i="17"/>
  <c r="Z12" i="17"/>
  <c r="X12" i="17"/>
  <c r="V12" i="17"/>
  <c r="J13" i="3"/>
  <c r="L13" i="3"/>
  <c r="M13" i="3"/>
  <c r="K13" i="3"/>
  <c r="N13" i="3"/>
  <c r="AD13" i="3" s="1"/>
  <c r="M13" i="16"/>
  <c r="K13" i="16"/>
  <c r="L13" i="16"/>
  <c r="J13" i="16"/>
  <c r="N13" i="16"/>
  <c r="AD13" i="16" s="1"/>
  <c r="X12" i="16"/>
  <c r="Z12" i="16"/>
  <c r="V12" i="16"/>
  <c r="L14" i="19" l="1"/>
  <c r="K14" i="19"/>
  <c r="M14" i="19"/>
  <c r="N14" i="19"/>
  <c r="AD14" i="19" s="1"/>
  <c r="J14" i="19"/>
  <c r="Z13" i="19"/>
  <c r="V13" i="19"/>
  <c r="X13" i="19"/>
  <c r="I52" i="19"/>
  <c r="P51" i="19"/>
  <c r="T51" i="19" s="1"/>
  <c r="L14" i="18"/>
  <c r="K14" i="18"/>
  <c r="J14" i="18"/>
  <c r="N14" i="18"/>
  <c r="AD14" i="18" s="1"/>
  <c r="M14" i="18"/>
  <c r="Z13" i="18"/>
  <c r="X13" i="18"/>
  <c r="V13" i="18"/>
  <c r="I23" i="18"/>
  <c r="P22" i="18"/>
  <c r="T22" i="18" s="1"/>
  <c r="L14" i="17"/>
  <c r="K14" i="17"/>
  <c r="N14" i="17"/>
  <c r="AD14" i="17" s="1"/>
  <c r="M14" i="17"/>
  <c r="J14" i="17"/>
  <c r="Z13" i="17"/>
  <c r="X13" i="17"/>
  <c r="V13" i="17"/>
  <c r="K14" i="16"/>
  <c r="M14" i="16"/>
  <c r="N14" i="16"/>
  <c r="AD14" i="16" s="1"/>
  <c r="L14" i="16"/>
  <c r="J14" i="16"/>
  <c r="V13" i="16"/>
  <c r="Z13" i="16"/>
  <c r="X13" i="16"/>
  <c r="N14" i="3"/>
  <c r="AD14" i="3" s="1"/>
  <c r="J14" i="3"/>
  <c r="M14" i="3"/>
  <c r="L14" i="3"/>
  <c r="K14" i="3"/>
  <c r="L15" i="19" l="1"/>
  <c r="K15" i="19"/>
  <c r="N15" i="19"/>
  <c r="AD15" i="19" s="1"/>
  <c r="M15" i="19"/>
  <c r="J15" i="19"/>
  <c r="X14" i="19"/>
  <c r="V14" i="19"/>
  <c r="Z14" i="19"/>
  <c r="I53" i="19"/>
  <c r="P52" i="19"/>
  <c r="T52" i="19" s="1"/>
  <c r="I24" i="18"/>
  <c r="P23" i="18"/>
  <c r="T23" i="18" s="1"/>
  <c r="N15" i="18"/>
  <c r="AD15" i="18" s="1"/>
  <c r="M15" i="18"/>
  <c r="L15" i="18"/>
  <c r="K15" i="18"/>
  <c r="J15" i="18"/>
  <c r="X14" i="18"/>
  <c r="V14" i="18"/>
  <c r="Z14" i="18"/>
  <c r="N15" i="17"/>
  <c r="AD15" i="17" s="1"/>
  <c r="M15" i="17"/>
  <c r="L15" i="17"/>
  <c r="K15" i="17"/>
  <c r="J15" i="17"/>
  <c r="Z14" i="17"/>
  <c r="X14" i="17"/>
  <c r="V14" i="17"/>
  <c r="N15" i="3"/>
  <c r="AD15" i="3" s="1"/>
  <c r="L15" i="3"/>
  <c r="J15" i="3"/>
  <c r="M15" i="3"/>
  <c r="K15" i="3"/>
  <c r="M15" i="16"/>
  <c r="N15" i="16"/>
  <c r="AD15" i="16" s="1"/>
  <c r="L15" i="16"/>
  <c r="K15" i="16"/>
  <c r="J15" i="16"/>
  <c r="Z14" i="16"/>
  <c r="V14" i="16"/>
  <c r="X14" i="16"/>
  <c r="N16" i="19" l="1"/>
  <c r="AD16" i="19" s="1"/>
  <c r="M16" i="19"/>
  <c r="L16" i="19"/>
  <c r="K16" i="19"/>
  <c r="J16" i="19"/>
  <c r="Z15" i="19"/>
  <c r="X15" i="19"/>
  <c r="V15" i="19"/>
  <c r="I54" i="19"/>
  <c r="P53" i="19"/>
  <c r="T53" i="19" s="1"/>
  <c r="I25" i="18"/>
  <c r="P24" i="18"/>
  <c r="T24" i="18" s="1"/>
  <c r="N16" i="18"/>
  <c r="AD16" i="18" s="1"/>
  <c r="M16" i="18"/>
  <c r="L16" i="18"/>
  <c r="K16" i="18"/>
  <c r="J16" i="18"/>
  <c r="X15" i="18"/>
  <c r="V15" i="18"/>
  <c r="Z15" i="18"/>
  <c r="N16" i="17"/>
  <c r="AD16" i="17" s="1"/>
  <c r="M16" i="17"/>
  <c r="L16" i="17"/>
  <c r="K16" i="17"/>
  <c r="J16" i="17"/>
  <c r="X15" i="17"/>
  <c r="V15" i="17"/>
  <c r="Z15" i="17"/>
  <c r="M16" i="16"/>
  <c r="K16" i="16"/>
  <c r="N16" i="16"/>
  <c r="AD16" i="16" s="1"/>
  <c r="L16" i="16"/>
  <c r="J16" i="16"/>
  <c r="Z15" i="16"/>
  <c r="X15" i="16"/>
  <c r="V15" i="16"/>
  <c r="N16" i="3"/>
  <c r="AD16" i="3" s="1"/>
  <c r="K16" i="3"/>
  <c r="M16" i="3"/>
  <c r="L16" i="3"/>
  <c r="J16" i="3"/>
  <c r="J17" i="19" l="1"/>
  <c r="N17" i="19"/>
  <c r="AD17" i="19" s="1"/>
  <c r="M17" i="19"/>
  <c r="K17" i="19"/>
  <c r="L17" i="19"/>
  <c r="X16" i="19"/>
  <c r="V16" i="19"/>
  <c r="Z16" i="19"/>
  <c r="I55" i="19"/>
  <c r="P54" i="19"/>
  <c r="T54" i="19" s="1"/>
  <c r="J17" i="18"/>
  <c r="N17" i="18"/>
  <c r="AD17" i="18" s="1"/>
  <c r="M17" i="18"/>
  <c r="L17" i="18"/>
  <c r="K17" i="18"/>
  <c r="Z16" i="18"/>
  <c r="X16" i="18"/>
  <c r="V16" i="18"/>
  <c r="I26" i="18"/>
  <c r="P25" i="18"/>
  <c r="T25" i="18" s="1"/>
  <c r="J17" i="17"/>
  <c r="N17" i="17"/>
  <c r="AD17" i="17" s="1"/>
  <c r="M17" i="17"/>
  <c r="L17" i="17"/>
  <c r="K17" i="17"/>
  <c r="Z16" i="17"/>
  <c r="X16" i="17"/>
  <c r="V16" i="17"/>
  <c r="L17" i="3"/>
  <c r="N17" i="3"/>
  <c r="AD17" i="3" s="1"/>
  <c r="M17" i="3"/>
  <c r="K17" i="3"/>
  <c r="J17" i="3"/>
  <c r="K17" i="16"/>
  <c r="N17" i="16"/>
  <c r="AD17" i="16" s="1"/>
  <c r="M17" i="16"/>
  <c r="L17" i="16"/>
  <c r="J17" i="16"/>
  <c r="V16" i="16"/>
  <c r="Z16" i="16"/>
  <c r="X16" i="16"/>
  <c r="N18" i="19" l="1"/>
  <c r="AD18" i="19" s="1"/>
  <c r="M18" i="19"/>
  <c r="L18" i="19"/>
  <c r="K18" i="19"/>
  <c r="J18" i="19"/>
  <c r="Z17" i="19"/>
  <c r="X17" i="19"/>
  <c r="V17" i="19"/>
  <c r="I56" i="19"/>
  <c r="P55" i="19"/>
  <c r="T55" i="19" s="1"/>
  <c r="N18" i="18"/>
  <c r="AD18" i="18" s="1"/>
  <c r="M18" i="18"/>
  <c r="L18" i="18"/>
  <c r="K18" i="18"/>
  <c r="J18" i="18"/>
  <c r="Z17" i="18"/>
  <c r="X17" i="18"/>
  <c r="V17" i="18"/>
  <c r="I27" i="18"/>
  <c r="P26" i="18"/>
  <c r="T26" i="18" s="1"/>
  <c r="N18" i="17"/>
  <c r="AD18" i="17" s="1"/>
  <c r="M18" i="17"/>
  <c r="L18" i="17"/>
  <c r="K18" i="17"/>
  <c r="J18" i="17"/>
  <c r="Z17" i="17"/>
  <c r="X17" i="17"/>
  <c r="V17" i="17"/>
  <c r="M18" i="16"/>
  <c r="K18" i="16"/>
  <c r="N18" i="16"/>
  <c r="AD18" i="16" s="1"/>
  <c r="L18" i="16"/>
  <c r="J18" i="16"/>
  <c r="X17" i="16"/>
  <c r="Z17" i="16"/>
  <c r="V17" i="16"/>
  <c r="J18" i="3"/>
  <c r="N18" i="3"/>
  <c r="AD18" i="3" s="1"/>
  <c r="K18" i="3"/>
  <c r="L18" i="3"/>
  <c r="M18" i="3"/>
  <c r="I57" i="19" l="1"/>
  <c r="P56" i="19"/>
  <c r="T56" i="19" s="1"/>
  <c r="J19" i="19"/>
  <c r="N19" i="19"/>
  <c r="AD19" i="19" s="1"/>
  <c r="M19" i="19"/>
  <c r="K19" i="19"/>
  <c r="L19" i="19"/>
  <c r="X18" i="19"/>
  <c r="V18" i="19"/>
  <c r="Z18" i="19"/>
  <c r="J19" i="18"/>
  <c r="N19" i="18"/>
  <c r="AD19" i="18" s="1"/>
  <c r="M19" i="18"/>
  <c r="L19" i="18"/>
  <c r="K19" i="18"/>
  <c r="Z18" i="18"/>
  <c r="X18" i="18"/>
  <c r="V18" i="18"/>
  <c r="I28" i="18"/>
  <c r="P27" i="18"/>
  <c r="T27" i="18" s="1"/>
  <c r="J19" i="17"/>
  <c r="M19" i="17"/>
  <c r="N19" i="17"/>
  <c r="AD19" i="17" s="1"/>
  <c r="L19" i="17"/>
  <c r="K19" i="17"/>
  <c r="Z18" i="17"/>
  <c r="X18" i="17"/>
  <c r="V18" i="17"/>
  <c r="N19" i="3"/>
  <c r="AD19" i="3" s="1"/>
  <c r="L19" i="3"/>
  <c r="M19" i="3"/>
  <c r="K19" i="3"/>
  <c r="J19" i="3"/>
  <c r="M19" i="16"/>
  <c r="K19" i="16"/>
  <c r="N19" i="16"/>
  <c r="AD19" i="16" s="1"/>
  <c r="L19" i="16"/>
  <c r="J19" i="16"/>
  <c r="Z18" i="16"/>
  <c r="V18" i="16"/>
  <c r="X18" i="16"/>
  <c r="J20" i="19" l="1"/>
  <c r="N20" i="19"/>
  <c r="AD20" i="19" s="1"/>
  <c r="M20" i="19"/>
  <c r="L20" i="19"/>
  <c r="K20" i="19"/>
  <c r="V19" i="19"/>
  <c r="Z19" i="19"/>
  <c r="X19" i="19"/>
  <c r="I58" i="19"/>
  <c r="P57" i="19"/>
  <c r="T57" i="19" s="1"/>
  <c r="I29" i="18"/>
  <c r="P28" i="18"/>
  <c r="T28" i="18" s="1"/>
  <c r="N20" i="18"/>
  <c r="AD20" i="18" s="1"/>
  <c r="M20" i="18"/>
  <c r="L20" i="18"/>
  <c r="K20" i="18"/>
  <c r="J20" i="18"/>
  <c r="V19" i="18"/>
  <c r="X19" i="18"/>
  <c r="Z19" i="18"/>
  <c r="N20" i="17"/>
  <c r="AD20" i="17" s="1"/>
  <c r="M20" i="17"/>
  <c r="L20" i="17"/>
  <c r="K20" i="17"/>
  <c r="J20" i="17"/>
  <c r="Z19" i="17"/>
  <c r="X19" i="17"/>
  <c r="V19" i="17"/>
  <c r="M20" i="16"/>
  <c r="K20" i="16"/>
  <c r="N20" i="16"/>
  <c r="AD20" i="16" s="1"/>
  <c r="L20" i="16"/>
  <c r="J20" i="16"/>
  <c r="X19" i="16"/>
  <c r="Z19" i="16"/>
  <c r="V19" i="16"/>
  <c r="N20" i="3"/>
  <c r="AD20" i="3" s="1"/>
  <c r="L20" i="3"/>
  <c r="M20" i="3"/>
  <c r="K20" i="3"/>
  <c r="J20" i="3"/>
  <c r="I59" i="19" l="1"/>
  <c r="P58" i="19"/>
  <c r="T58" i="19" s="1"/>
  <c r="L21" i="19"/>
  <c r="K21" i="19"/>
  <c r="M21" i="19"/>
  <c r="N21" i="19"/>
  <c r="AD21" i="19" s="1"/>
  <c r="J21" i="19"/>
  <c r="Z20" i="19"/>
  <c r="V20" i="19"/>
  <c r="X20" i="19"/>
  <c r="I30" i="18"/>
  <c r="P29" i="18"/>
  <c r="T29" i="18" s="1"/>
  <c r="L21" i="18"/>
  <c r="K21" i="18"/>
  <c r="J21" i="18"/>
  <c r="N21" i="18"/>
  <c r="AD21" i="18" s="1"/>
  <c r="M21" i="18"/>
  <c r="X20" i="18"/>
  <c r="Z20" i="18"/>
  <c r="V20" i="18"/>
  <c r="L21" i="17"/>
  <c r="K21" i="17"/>
  <c r="J21" i="17"/>
  <c r="N21" i="17"/>
  <c r="AD21" i="17" s="1"/>
  <c r="M21" i="17"/>
  <c r="Z20" i="17"/>
  <c r="X20" i="17"/>
  <c r="V20" i="17"/>
  <c r="K21" i="3"/>
  <c r="L21" i="3"/>
  <c r="N21" i="3"/>
  <c r="AD21" i="3" s="1"/>
  <c r="J21" i="3"/>
  <c r="M21" i="3"/>
  <c r="K21" i="16"/>
  <c r="M21" i="16"/>
  <c r="N21" i="16"/>
  <c r="AD21" i="16" s="1"/>
  <c r="L21" i="16"/>
  <c r="J21" i="16"/>
  <c r="X20" i="16"/>
  <c r="Z20" i="16"/>
  <c r="V20" i="16"/>
  <c r="I60" i="19" l="1"/>
  <c r="P59" i="19"/>
  <c r="T59" i="19" s="1"/>
  <c r="L22" i="19"/>
  <c r="K22" i="19"/>
  <c r="N22" i="19"/>
  <c r="AD22" i="19" s="1"/>
  <c r="M22" i="19"/>
  <c r="J22" i="19"/>
  <c r="Z21" i="19"/>
  <c r="X21" i="19"/>
  <c r="V21" i="19"/>
  <c r="N22" i="18"/>
  <c r="AD22" i="18" s="1"/>
  <c r="M22" i="18"/>
  <c r="L22" i="18"/>
  <c r="K22" i="18"/>
  <c r="J22" i="18"/>
  <c r="V21" i="18"/>
  <c r="X21" i="18"/>
  <c r="Z21" i="18"/>
  <c r="I31" i="18"/>
  <c r="P30" i="18"/>
  <c r="T30" i="18" s="1"/>
  <c r="K22" i="17"/>
  <c r="J22" i="17"/>
  <c r="N22" i="17"/>
  <c r="AD22" i="17" s="1"/>
  <c r="M22" i="17"/>
  <c r="L22" i="17"/>
  <c r="Z21" i="17"/>
  <c r="X21" i="17"/>
  <c r="V21" i="17"/>
  <c r="M22" i="16"/>
  <c r="K22" i="16"/>
  <c r="L22" i="16"/>
  <c r="J22" i="16"/>
  <c r="N22" i="16"/>
  <c r="AD22" i="16" s="1"/>
  <c r="V21" i="16"/>
  <c r="Z21" i="16"/>
  <c r="X21" i="16"/>
  <c r="M22" i="3"/>
  <c r="L22" i="3"/>
  <c r="K22" i="3"/>
  <c r="J22" i="3"/>
  <c r="N22" i="3"/>
  <c r="AD22" i="3" s="1"/>
  <c r="I61" i="19" l="1"/>
  <c r="P60" i="19"/>
  <c r="T60" i="19" s="1"/>
  <c r="N23" i="19"/>
  <c r="AD23" i="19" s="1"/>
  <c r="M23" i="19"/>
  <c r="L23" i="19"/>
  <c r="K23" i="19"/>
  <c r="J23" i="19"/>
  <c r="X22" i="19"/>
  <c r="V22" i="19"/>
  <c r="Z22" i="19"/>
  <c r="N23" i="18"/>
  <c r="AD23" i="18" s="1"/>
  <c r="M23" i="18"/>
  <c r="L23" i="18"/>
  <c r="K23" i="18"/>
  <c r="J23" i="18"/>
  <c r="X22" i="18"/>
  <c r="V22" i="18"/>
  <c r="Z22" i="18"/>
  <c r="I32" i="18"/>
  <c r="P31" i="18"/>
  <c r="T31" i="18" s="1"/>
  <c r="N23" i="17"/>
  <c r="AD23" i="17" s="1"/>
  <c r="M23" i="17"/>
  <c r="L23" i="17"/>
  <c r="K23" i="17"/>
  <c r="J23" i="17"/>
  <c r="X22" i="17"/>
  <c r="V22" i="17"/>
  <c r="Z22" i="17"/>
  <c r="M23" i="16"/>
  <c r="K23" i="16"/>
  <c r="N23" i="16"/>
  <c r="AD23" i="16" s="1"/>
  <c r="L23" i="16"/>
  <c r="J23" i="16"/>
  <c r="V22" i="16"/>
  <c r="Z22" i="16"/>
  <c r="X22" i="16"/>
  <c r="N23" i="3"/>
  <c r="AD23" i="3" s="1"/>
  <c r="L23" i="3"/>
  <c r="J23" i="3"/>
  <c r="M23" i="3"/>
  <c r="K23" i="3"/>
  <c r="I62" i="19" l="1"/>
  <c r="P61" i="19"/>
  <c r="T61" i="19" s="1"/>
  <c r="J24" i="19"/>
  <c r="N24" i="19"/>
  <c r="AD24" i="19" s="1"/>
  <c r="M24" i="19"/>
  <c r="K24" i="19"/>
  <c r="L24" i="19"/>
  <c r="X23" i="19"/>
  <c r="V23" i="19"/>
  <c r="Z23" i="19"/>
  <c r="J24" i="18"/>
  <c r="N24" i="18"/>
  <c r="AD24" i="18" s="1"/>
  <c r="M24" i="18"/>
  <c r="L24" i="18"/>
  <c r="K24" i="18"/>
  <c r="Z23" i="18"/>
  <c r="X23" i="18"/>
  <c r="V23" i="18"/>
  <c r="I33" i="18"/>
  <c r="P32" i="18"/>
  <c r="T32" i="18" s="1"/>
  <c r="J24" i="17"/>
  <c r="M24" i="17"/>
  <c r="N24" i="17"/>
  <c r="AD24" i="17" s="1"/>
  <c r="L24" i="17"/>
  <c r="K24" i="17"/>
  <c r="Z23" i="17"/>
  <c r="X23" i="17"/>
  <c r="V23" i="17"/>
  <c r="M24" i="16"/>
  <c r="K24" i="16"/>
  <c r="N24" i="16"/>
  <c r="AD24" i="16" s="1"/>
  <c r="L24" i="16"/>
  <c r="J24" i="16"/>
  <c r="Z23" i="16"/>
  <c r="V23" i="16"/>
  <c r="X23" i="16"/>
  <c r="J24" i="3"/>
  <c r="N24" i="3"/>
  <c r="AD24" i="3" s="1"/>
  <c r="L24" i="3"/>
  <c r="K24" i="3"/>
  <c r="M24" i="3"/>
  <c r="J25" i="19" l="1"/>
  <c r="L25" i="19"/>
  <c r="K25" i="19"/>
  <c r="N25" i="19"/>
  <c r="AD25" i="19" s="1"/>
  <c r="M25" i="19"/>
  <c r="Z24" i="19"/>
  <c r="X24" i="19"/>
  <c r="V24" i="19"/>
  <c r="I63" i="19"/>
  <c r="P62" i="19"/>
  <c r="T62" i="19" s="1"/>
  <c r="I34" i="18"/>
  <c r="P33" i="18"/>
  <c r="T33" i="18" s="1"/>
  <c r="N25" i="18"/>
  <c r="AD25" i="18" s="1"/>
  <c r="M25" i="18"/>
  <c r="L25" i="18"/>
  <c r="K25" i="18"/>
  <c r="J25" i="18"/>
  <c r="Z24" i="18"/>
  <c r="V24" i="18"/>
  <c r="X24" i="18"/>
  <c r="N25" i="17"/>
  <c r="AD25" i="17" s="1"/>
  <c r="M25" i="17"/>
  <c r="L25" i="17"/>
  <c r="K25" i="17"/>
  <c r="J25" i="17"/>
  <c r="Z24" i="17"/>
  <c r="X24" i="17"/>
  <c r="V24" i="17"/>
  <c r="M25" i="3"/>
  <c r="J25" i="3"/>
  <c r="L25" i="3"/>
  <c r="N25" i="3"/>
  <c r="AD25" i="3" s="1"/>
  <c r="K25" i="3"/>
  <c r="M25" i="16"/>
  <c r="K25" i="16"/>
  <c r="J25" i="16"/>
  <c r="N25" i="16"/>
  <c r="AD25" i="16" s="1"/>
  <c r="L25" i="16"/>
  <c r="V24" i="16"/>
  <c r="X24" i="16"/>
  <c r="Z24" i="16"/>
  <c r="I64" i="19" l="1"/>
  <c r="P63" i="19"/>
  <c r="T63" i="19" s="1"/>
  <c r="L26" i="19"/>
  <c r="K26" i="19"/>
  <c r="M26" i="19"/>
  <c r="N26" i="19"/>
  <c r="AD26" i="19" s="1"/>
  <c r="J26" i="19"/>
  <c r="Z25" i="19"/>
  <c r="V25" i="19"/>
  <c r="X25" i="19"/>
  <c r="I35" i="18"/>
  <c r="P34" i="18"/>
  <c r="T34" i="18" s="1"/>
  <c r="L26" i="18"/>
  <c r="K26" i="18"/>
  <c r="J26" i="18"/>
  <c r="N26" i="18"/>
  <c r="AD26" i="18" s="1"/>
  <c r="M26" i="18"/>
  <c r="X25" i="18"/>
  <c r="V25" i="18"/>
  <c r="Z25" i="18"/>
  <c r="L26" i="17"/>
  <c r="K26" i="17"/>
  <c r="J26" i="17"/>
  <c r="N26" i="17"/>
  <c r="AD26" i="17" s="1"/>
  <c r="M26" i="17"/>
  <c r="X25" i="17"/>
  <c r="V25" i="17"/>
  <c r="Z25" i="17"/>
  <c r="K26" i="3"/>
  <c r="L26" i="3"/>
  <c r="M26" i="3"/>
  <c r="J26" i="3"/>
  <c r="N26" i="3"/>
  <c r="AD26" i="3" s="1"/>
  <c r="K26" i="16"/>
  <c r="M26" i="16"/>
  <c r="N26" i="16"/>
  <c r="AD26" i="16" s="1"/>
  <c r="L26" i="16"/>
  <c r="J26" i="16"/>
  <c r="Z25" i="16"/>
  <c r="V25" i="16"/>
  <c r="X25" i="16"/>
  <c r="I65" i="19" l="1"/>
  <c r="P64" i="19"/>
  <c r="T64" i="19" s="1"/>
  <c r="L27" i="19"/>
  <c r="K27" i="19"/>
  <c r="N27" i="19"/>
  <c r="AD27" i="19" s="1"/>
  <c r="M27" i="19"/>
  <c r="J27" i="19"/>
  <c r="V26" i="19"/>
  <c r="Z26" i="19"/>
  <c r="X26" i="19"/>
  <c r="N27" i="18"/>
  <c r="AD27" i="18" s="1"/>
  <c r="M27" i="18"/>
  <c r="L27" i="18"/>
  <c r="K27" i="18"/>
  <c r="J27" i="18"/>
  <c r="V26" i="18"/>
  <c r="Z26" i="18"/>
  <c r="X26" i="18"/>
  <c r="I36" i="18"/>
  <c r="P35" i="18"/>
  <c r="T35" i="18" s="1"/>
  <c r="K27" i="17"/>
  <c r="N27" i="17"/>
  <c r="AD27" i="17" s="1"/>
  <c r="M27" i="17"/>
  <c r="L27" i="17"/>
  <c r="J27" i="17"/>
  <c r="X26" i="17"/>
  <c r="V26" i="17"/>
  <c r="Z26" i="17"/>
  <c r="M27" i="16"/>
  <c r="K27" i="16"/>
  <c r="N27" i="16"/>
  <c r="AD27" i="16" s="1"/>
  <c r="L27" i="16"/>
  <c r="J27" i="16"/>
  <c r="V26" i="16"/>
  <c r="X26" i="16"/>
  <c r="Z26" i="16"/>
  <c r="M27" i="3"/>
  <c r="J27" i="3"/>
  <c r="N27" i="3"/>
  <c r="AD27" i="3" s="1"/>
  <c r="L27" i="3"/>
  <c r="K27" i="3"/>
  <c r="I66" i="19" l="1"/>
  <c r="P66" i="19" s="1"/>
  <c r="T66" i="19" s="1"/>
  <c r="P65" i="19"/>
  <c r="T65" i="19" s="1"/>
  <c r="N28" i="19"/>
  <c r="AD28" i="19" s="1"/>
  <c r="M28" i="19"/>
  <c r="L28" i="19"/>
  <c r="K28" i="19"/>
  <c r="J28" i="19"/>
  <c r="X27" i="19"/>
  <c r="V27" i="19"/>
  <c r="Z27" i="19"/>
  <c r="I37" i="18"/>
  <c r="P36" i="18"/>
  <c r="T36" i="18" s="1"/>
  <c r="N28" i="18"/>
  <c r="AD28" i="18" s="1"/>
  <c r="M28" i="18"/>
  <c r="L28" i="18"/>
  <c r="K28" i="18"/>
  <c r="J28" i="18"/>
  <c r="X27" i="18"/>
  <c r="V27" i="18"/>
  <c r="Z27" i="18"/>
  <c r="N28" i="17"/>
  <c r="AD28" i="17" s="1"/>
  <c r="M28" i="17"/>
  <c r="L28" i="17"/>
  <c r="K28" i="17"/>
  <c r="J28" i="17"/>
  <c r="Z27" i="17"/>
  <c r="X27" i="17"/>
  <c r="V27" i="17"/>
  <c r="N28" i="3"/>
  <c r="AD28" i="3" s="1"/>
  <c r="L28" i="3"/>
  <c r="K28" i="3"/>
  <c r="J28" i="3"/>
  <c r="M28" i="3"/>
  <c r="M28" i="16"/>
  <c r="K28" i="16"/>
  <c r="N28" i="16"/>
  <c r="AD28" i="16" s="1"/>
  <c r="L28" i="16"/>
  <c r="J28" i="16"/>
  <c r="V27" i="16"/>
  <c r="Z27" i="16"/>
  <c r="X27" i="16"/>
  <c r="J29" i="19" l="1"/>
  <c r="N29" i="19"/>
  <c r="AD29" i="19" s="1"/>
  <c r="M29" i="19"/>
  <c r="K29" i="19"/>
  <c r="L29" i="19"/>
  <c r="V28" i="19"/>
  <c r="Z28" i="19"/>
  <c r="X28" i="19"/>
  <c r="J29" i="18"/>
  <c r="N29" i="18"/>
  <c r="AD29" i="18" s="1"/>
  <c r="M29" i="18"/>
  <c r="L29" i="18"/>
  <c r="K29" i="18"/>
  <c r="Z28" i="18"/>
  <c r="X28" i="18"/>
  <c r="V28" i="18"/>
  <c r="I38" i="18"/>
  <c r="P37" i="18"/>
  <c r="T37" i="18" s="1"/>
  <c r="J29" i="17"/>
  <c r="M29" i="17"/>
  <c r="N29" i="17"/>
  <c r="AD29" i="17" s="1"/>
  <c r="L29" i="17"/>
  <c r="K29" i="17"/>
  <c r="V28" i="17"/>
  <c r="Z28" i="17"/>
  <c r="X28" i="17"/>
  <c r="M29" i="16"/>
  <c r="K29" i="16"/>
  <c r="N29" i="16"/>
  <c r="AD29" i="16" s="1"/>
  <c r="L29" i="16"/>
  <c r="J29" i="16"/>
  <c r="Z28" i="16"/>
  <c r="X28" i="16"/>
  <c r="V28" i="16"/>
  <c r="J29" i="3"/>
  <c r="M29" i="3"/>
  <c r="K29" i="3"/>
  <c r="L29" i="3"/>
  <c r="N29" i="3"/>
  <c r="AD29" i="3" s="1"/>
  <c r="J30" i="19" l="1"/>
  <c r="N30" i="19"/>
  <c r="AD30" i="19" s="1"/>
  <c r="M30" i="19"/>
  <c r="L30" i="19"/>
  <c r="K30" i="19"/>
  <c r="Z29" i="19"/>
  <c r="X29" i="19"/>
  <c r="V29" i="19"/>
  <c r="I39" i="18"/>
  <c r="P38" i="18"/>
  <c r="T38" i="18" s="1"/>
  <c r="N30" i="18"/>
  <c r="AD30" i="18" s="1"/>
  <c r="M30" i="18"/>
  <c r="L30" i="18"/>
  <c r="K30" i="18"/>
  <c r="J30" i="18"/>
  <c r="V29" i="18"/>
  <c r="Z29" i="18"/>
  <c r="X29" i="18"/>
  <c r="N30" i="17"/>
  <c r="AD30" i="17" s="1"/>
  <c r="J30" i="17"/>
  <c r="M30" i="17"/>
  <c r="L30" i="17"/>
  <c r="K30" i="17"/>
  <c r="Z29" i="17"/>
  <c r="X29" i="17"/>
  <c r="V29" i="17"/>
  <c r="M30" i="3"/>
  <c r="L30" i="3"/>
  <c r="J30" i="3"/>
  <c r="N30" i="3"/>
  <c r="AD30" i="3" s="1"/>
  <c r="K30" i="3"/>
  <c r="M30" i="16"/>
  <c r="K30" i="16"/>
  <c r="N30" i="16"/>
  <c r="AD30" i="16" s="1"/>
  <c r="L30" i="16"/>
  <c r="J30" i="16"/>
  <c r="V29" i="16"/>
  <c r="Z29" i="16"/>
  <c r="X29" i="16"/>
  <c r="L31" i="19" l="1"/>
  <c r="K31" i="19"/>
  <c r="M31" i="19"/>
  <c r="N31" i="19"/>
  <c r="AD31" i="19" s="1"/>
  <c r="J31" i="19"/>
  <c r="Z30" i="19"/>
  <c r="V30" i="19"/>
  <c r="X30" i="19"/>
  <c r="I40" i="18"/>
  <c r="P39" i="18"/>
  <c r="T39" i="18" s="1"/>
  <c r="L31" i="18"/>
  <c r="K31" i="18"/>
  <c r="J31" i="18"/>
  <c r="N31" i="18"/>
  <c r="AD31" i="18" s="1"/>
  <c r="M31" i="18"/>
  <c r="X30" i="18"/>
  <c r="V30" i="18"/>
  <c r="Z30" i="18"/>
  <c r="L31" i="17"/>
  <c r="K31" i="17"/>
  <c r="J31" i="17"/>
  <c r="M31" i="17"/>
  <c r="N31" i="17"/>
  <c r="AD31" i="17" s="1"/>
  <c r="Z30" i="17"/>
  <c r="X30" i="17"/>
  <c r="V30" i="17"/>
  <c r="K31" i="16"/>
  <c r="M31" i="16"/>
  <c r="N31" i="16"/>
  <c r="AD31" i="16" s="1"/>
  <c r="L31" i="16"/>
  <c r="J31" i="16"/>
  <c r="Z30" i="16"/>
  <c r="X30" i="16"/>
  <c r="V30" i="16"/>
  <c r="K31" i="3"/>
  <c r="J31" i="3"/>
  <c r="M31" i="3"/>
  <c r="L31" i="3"/>
  <c r="N31" i="3"/>
  <c r="AD31" i="3" s="1"/>
  <c r="L32" i="19" l="1"/>
  <c r="K32" i="19"/>
  <c r="N32" i="19"/>
  <c r="AD32" i="19" s="1"/>
  <c r="M32" i="19"/>
  <c r="J32" i="19"/>
  <c r="Z31" i="19"/>
  <c r="X31" i="19"/>
  <c r="V31" i="19"/>
  <c r="N32" i="18"/>
  <c r="AD32" i="18" s="1"/>
  <c r="M32" i="18"/>
  <c r="L32" i="18"/>
  <c r="K32" i="18"/>
  <c r="J32" i="18"/>
  <c r="X31" i="18"/>
  <c r="V31" i="18"/>
  <c r="Z31" i="18"/>
  <c r="I41" i="18"/>
  <c r="P40" i="18"/>
  <c r="T40" i="18" s="1"/>
  <c r="K32" i="17"/>
  <c r="M32" i="17"/>
  <c r="L32" i="17"/>
  <c r="J32" i="17"/>
  <c r="N32" i="17"/>
  <c r="AD32" i="17" s="1"/>
  <c r="X31" i="17"/>
  <c r="V31" i="17"/>
  <c r="Z31" i="17"/>
  <c r="L32" i="3"/>
  <c r="J32" i="3"/>
  <c r="K32" i="3"/>
  <c r="N32" i="3"/>
  <c r="AD32" i="3" s="1"/>
  <c r="M32" i="3"/>
  <c r="M32" i="16"/>
  <c r="K32" i="16"/>
  <c r="L32" i="16"/>
  <c r="J32" i="16"/>
  <c r="N32" i="16"/>
  <c r="AD32" i="16" s="1"/>
  <c r="X31" i="16"/>
  <c r="Z31" i="16"/>
  <c r="V31" i="16"/>
  <c r="N33" i="19" l="1"/>
  <c r="AD33" i="19" s="1"/>
  <c r="M33" i="19"/>
  <c r="L33" i="19"/>
  <c r="K33" i="19"/>
  <c r="J33" i="19"/>
  <c r="X32" i="19"/>
  <c r="V32" i="19"/>
  <c r="Z32" i="19"/>
  <c r="N33" i="18"/>
  <c r="AD33" i="18" s="1"/>
  <c r="M33" i="18"/>
  <c r="L33" i="18"/>
  <c r="K33" i="18"/>
  <c r="J33" i="18"/>
  <c r="X32" i="18"/>
  <c r="V32" i="18"/>
  <c r="Z32" i="18"/>
  <c r="I42" i="18"/>
  <c r="P41" i="18"/>
  <c r="T41" i="18" s="1"/>
  <c r="N33" i="17"/>
  <c r="AD33" i="17" s="1"/>
  <c r="M33" i="17"/>
  <c r="L33" i="17"/>
  <c r="K33" i="17"/>
  <c r="J33" i="17"/>
  <c r="X32" i="17"/>
  <c r="V32" i="17"/>
  <c r="Z32" i="17"/>
  <c r="J33" i="3"/>
  <c r="K33" i="3"/>
  <c r="N33" i="3"/>
  <c r="AD33" i="3" s="1"/>
  <c r="L33" i="3"/>
  <c r="M33" i="3"/>
  <c r="M33" i="16"/>
  <c r="K33" i="16"/>
  <c r="N33" i="16"/>
  <c r="AD33" i="16" s="1"/>
  <c r="L33" i="16"/>
  <c r="J33" i="16"/>
  <c r="X32" i="16"/>
  <c r="V32" i="16"/>
  <c r="Z32" i="16"/>
  <c r="J34" i="19" l="1"/>
  <c r="N34" i="19"/>
  <c r="AD34" i="19" s="1"/>
  <c r="M34" i="19"/>
  <c r="K34" i="19"/>
  <c r="L34" i="19"/>
  <c r="Z33" i="19"/>
  <c r="X33" i="19"/>
  <c r="V33" i="19"/>
  <c r="J34" i="18"/>
  <c r="N34" i="18"/>
  <c r="AD34" i="18" s="1"/>
  <c r="M34" i="18"/>
  <c r="L34" i="18"/>
  <c r="K34" i="18"/>
  <c r="Z33" i="18"/>
  <c r="X33" i="18"/>
  <c r="V33" i="18"/>
  <c r="I43" i="18"/>
  <c r="P42" i="18"/>
  <c r="T42" i="18" s="1"/>
  <c r="J34" i="17"/>
  <c r="M34" i="17"/>
  <c r="N34" i="17"/>
  <c r="AD34" i="17" s="1"/>
  <c r="L34" i="17"/>
  <c r="K34" i="17"/>
  <c r="V33" i="17"/>
  <c r="Z33" i="17"/>
  <c r="X33" i="17"/>
  <c r="M34" i="16"/>
  <c r="K34" i="16"/>
  <c r="N34" i="16"/>
  <c r="AD34" i="16" s="1"/>
  <c r="L34" i="16"/>
  <c r="J34" i="16"/>
  <c r="X33" i="16"/>
  <c r="V33" i="16"/>
  <c r="Z33" i="16"/>
  <c r="L34" i="3"/>
  <c r="J34" i="3"/>
  <c r="K34" i="3"/>
  <c r="N34" i="3"/>
  <c r="AD34" i="3" s="1"/>
  <c r="M34" i="3"/>
  <c r="J35" i="19" l="1"/>
  <c r="N35" i="19"/>
  <c r="AD35" i="19" s="1"/>
  <c r="M35" i="19"/>
  <c r="L35" i="19"/>
  <c r="K35" i="19"/>
  <c r="X34" i="19"/>
  <c r="V34" i="19"/>
  <c r="Z34" i="19"/>
  <c r="I44" i="18"/>
  <c r="P43" i="18"/>
  <c r="T43" i="18" s="1"/>
  <c r="N35" i="18"/>
  <c r="AD35" i="18" s="1"/>
  <c r="M35" i="18"/>
  <c r="L35" i="18"/>
  <c r="K35" i="18"/>
  <c r="J35" i="18"/>
  <c r="V34" i="18"/>
  <c r="Z34" i="18"/>
  <c r="X34" i="18"/>
  <c r="N35" i="17"/>
  <c r="AD35" i="17" s="1"/>
  <c r="M35" i="17"/>
  <c r="L35" i="17"/>
  <c r="K35" i="17"/>
  <c r="J35" i="17"/>
  <c r="Z34" i="17"/>
  <c r="X34" i="17"/>
  <c r="V34" i="17"/>
  <c r="L35" i="3"/>
  <c r="K35" i="3"/>
  <c r="N35" i="3"/>
  <c r="AD35" i="3" s="1"/>
  <c r="J35" i="3"/>
  <c r="M35" i="3"/>
  <c r="M35" i="16"/>
  <c r="K35" i="16"/>
  <c r="J35" i="16"/>
  <c r="N35" i="16"/>
  <c r="AD35" i="16" s="1"/>
  <c r="L35" i="16"/>
  <c r="X34" i="16"/>
  <c r="Z34" i="16"/>
  <c r="V34" i="16"/>
  <c r="L36" i="19" l="1"/>
  <c r="K36" i="19"/>
  <c r="M36" i="19"/>
  <c r="N36" i="19"/>
  <c r="AD36" i="19" s="1"/>
  <c r="J36" i="19"/>
  <c r="Z35" i="19"/>
  <c r="V35" i="19"/>
  <c r="X35" i="19"/>
  <c r="I45" i="18"/>
  <c r="P44" i="18"/>
  <c r="T44" i="18" s="1"/>
  <c r="L36" i="18"/>
  <c r="K36" i="18"/>
  <c r="J36" i="18"/>
  <c r="N36" i="18"/>
  <c r="AD36" i="18" s="1"/>
  <c r="M36" i="18"/>
  <c r="Z35" i="18"/>
  <c r="X35" i="18"/>
  <c r="V35" i="18"/>
  <c r="L36" i="17"/>
  <c r="K36" i="17"/>
  <c r="J36" i="17"/>
  <c r="N36" i="17"/>
  <c r="AD36" i="17" s="1"/>
  <c r="M36" i="17"/>
  <c r="V35" i="17"/>
  <c r="X35" i="17"/>
  <c r="Z35" i="17"/>
  <c r="K36" i="16"/>
  <c r="M36" i="16"/>
  <c r="N36" i="16"/>
  <c r="AD36" i="16" s="1"/>
  <c r="L36" i="16"/>
  <c r="J36" i="16"/>
  <c r="X35" i="16"/>
  <c r="Z35" i="16"/>
  <c r="V35" i="16"/>
  <c r="L36" i="3"/>
  <c r="K36" i="3"/>
  <c r="M36" i="3"/>
  <c r="J36" i="3"/>
  <c r="N36" i="3"/>
  <c r="AD36" i="3" s="1"/>
  <c r="L37" i="19" l="1"/>
  <c r="K37" i="19"/>
  <c r="N37" i="19"/>
  <c r="AD37" i="19" s="1"/>
  <c r="M37" i="19"/>
  <c r="J37" i="19"/>
  <c r="Z36" i="19"/>
  <c r="X36" i="19"/>
  <c r="V36" i="19"/>
  <c r="I46" i="18"/>
  <c r="P45" i="18"/>
  <c r="T45" i="18" s="1"/>
  <c r="N37" i="18"/>
  <c r="AD37" i="18" s="1"/>
  <c r="M37" i="18"/>
  <c r="L37" i="18"/>
  <c r="K37" i="18"/>
  <c r="J37" i="18"/>
  <c r="X36" i="18"/>
  <c r="V36" i="18"/>
  <c r="Z36" i="18"/>
  <c r="K37" i="17"/>
  <c r="N37" i="17"/>
  <c r="AD37" i="17" s="1"/>
  <c r="M37" i="17"/>
  <c r="L37" i="17"/>
  <c r="J37" i="17"/>
  <c r="Z36" i="17"/>
  <c r="X36" i="17"/>
  <c r="V36" i="17"/>
  <c r="M37" i="16"/>
  <c r="K37" i="16"/>
  <c r="N37" i="16"/>
  <c r="AD37" i="16" s="1"/>
  <c r="L37" i="16"/>
  <c r="J37" i="16"/>
  <c r="Z36" i="16"/>
  <c r="V36" i="16"/>
  <c r="X36" i="16"/>
  <c r="N37" i="3"/>
  <c r="AD37" i="3" s="1"/>
  <c r="M37" i="3"/>
  <c r="K37" i="3"/>
  <c r="L37" i="3"/>
  <c r="J37" i="3"/>
  <c r="N38" i="19" l="1"/>
  <c r="AD38" i="19" s="1"/>
  <c r="M38" i="19"/>
  <c r="L38" i="19"/>
  <c r="K38" i="19"/>
  <c r="J38" i="19"/>
  <c r="V37" i="19"/>
  <c r="X37" i="19"/>
  <c r="Z37" i="19"/>
  <c r="I47" i="18"/>
  <c r="P46" i="18"/>
  <c r="T46" i="18" s="1"/>
  <c r="N38" i="18"/>
  <c r="AD38" i="18" s="1"/>
  <c r="M38" i="18"/>
  <c r="L38" i="18"/>
  <c r="K38" i="18"/>
  <c r="J38" i="18"/>
  <c r="X37" i="18"/>
  <c r="Z37" i="18"/>
  <c r="V37" i="18"/>
  <c r="N38" i="17"/>
  <c r="AD38" i="17" s="1"/>
  <c r="M38" i="17"/>
  <c r="L38" i="17"/>
  <c r="K38" i="17"/>
  <c r="J38" i="17"/>
  <c r="Z37" i="17"/>
  <c r="X37" i="17"/>
  <c r="V37" i="17"/>
  <c r="M38" i="16"/>
  <c r="K38" i="16"/>
  <c r="N38" i="16"/>
  <c r="AD38" i="16" s="1"/>
  <c r="L38" i="16"/>
  <c r="J38" i="16"/>
  <c r="X37" i="16"/>
  <c r="V37" i="16"/>
  <c r="Z37" i="16"/>
  <c r="L38" i="3"/>
  <c r="J38" i="3"/>
  <c r="N38" i="3"/>
  <c r="AD38" i="3" s="1"/>
  <c r="K38" i="3"/>
  <c r="M38" i="3"/>
  <c r="J39" i="19" l="1"/>
  <c r="N39" i="19"/>
  <c r="AD39" i="19" s="1"/>
  <c r="M39" i="19"/>
  <c r="L39" i="19"/>
  <c r="K39" i="19"/>
  <c r="X38" i="19"/>
  <c r="V38" i="19"/>
  <c r="Z38" i="19"/>
  <c r="J39" i="18"/>
  <c r="N39" i="18"/>
  <c r="AD39" i="18" s="1"/>
  <c r="M39" i="18"/>
  <c r="L39" i="18"/>
  <c r="K39" i="18"/>
  <c r="Z38" i="18"/>
  <c r="X38" i="18"/>
  <c r="V38" i="18"/>
  <c r="I48" i="18"/>
  <c r="P47" i="18"/>
  <c r="T47" i="18" s="1"/>
  <c r="J39" i="17"/>
  <c r="M39" i="17"/>
  <c r="L39" i="17"/>
  <c r="K39" i="17"/>
  <c r="N39" i="17"/>
  <c r="AD39" i="17" s="1"/>
  <c r="Z38" i="17"/>
  <c r="X38" i="17"/>
  <c r="V38" i="17"/>
  <c r="M39" i="3"/>
  <c r="L39" i="3"/>
  <c r="N39" i="3"/>
  <c r="AD39" i="3" s="1"/>
  <c r="K39" i="3"/>
  <c r="J39" i="3"/>
  <c r="M39" i="16"/>
  <c r="K39" i="16"/>
  <c r="N39" i="16"/>
  <c r="AD39" i="16" s="1"/>
  <c r="L39" i="16"/>
  <c r="J39" i="16"/>
  <c r="X38" i="16"/>
  <c r="Z38" i="16"/>
  <c r="V38" i="16"/>
  <c r="J40" i="19" l="1"/>
  <c r="N40" i="19"/>
  <c r="AD40" i="19" s="1"/>
  <c r="M40" i="19"/>
  <c r="L40" i="19"/>
  <c r="K40" i="19"/>
  <c r="Z39" i="19"/>
  <c r="X39" i="19"/>
  <c r="V39" i="19"/>
  <c r="N40" i="18"/>
  <c r="AD40" i="18" s="1"/>
  <c r="M40" i="18"/>
  <c r="L40" i="18"/>
  <c r="K40" i="18"/>
  <c r="J40" i="18"/>
  <c r="V39" i="18"/>
  <c r="Z39" i="18"/>
  <c r="X39" i="18"/>
  <c r="I49" i="18"/>
  <c r="P48" i="18"/>
  <c r="T48" i="18" s="1"/>
  <c r="N40" i="17"/>
  <c r="AD40" i="17" s="1"/>
  <c r="L40" i="17"/>
  <c r="K40" i="17"/>
  <c r="J40" i="17"/>
  <c r="M40" i="17"/>
  <c r="Z39" i="17"/>
  <c r="X39" i="17"/>
  <c r="V39" i="17"/>
  <c r="M40" i="16"/>
  <c r="K40" i="16"/>
  <c r="N40" i="16"/>
  <c r="AD40" i="16" s="1"/>
  <c r="L40" i="16"/>
  <c r="J40" i="16"/>
  <c r="Z39" i="16"/>
  <c r="V39" i="16"/>
  <c r="X39" i="16"/>
  <c r="L40" i="3"/>
  <c r="K40" i="3"/>
  <c r="J40" i="3"/>
  <c r="N40" i="3"/>
  <c r="AD40" i="3" s="1"/>
  <c r="M40" i="3"/>
  <c r="L41" i="19" l="1"/>
  <c r="K41" i="19"/>
  <c r="N41" i="19"/>
  <c r="AD41" i="19" s="1"/>
  <c r="M41" i="19"/>
  <c r="J41" i="19"/>
  <c r="Z40" i="19"/>
  <c r="X40" i="19"/>
  <c r="V40" i="19"/>
  <c r="L41" i="18"/>
  <c r="K41" i="18"/>
  <c r="J41" i="18"/>
  <c r="N41" i="18"/>
  <c r="AD41" i="18" s="1"/>
  <c r="M41" i="18"/>
  <c r="V40" i="18"/>
  <c r="X40" i="18"/>
  <c r="Z40" i="18"/>
  <c r="I50" i="18"/>
  <c r="P49" i="18"/>
  <c r="T49" i="18" s="1"/>
  <c r="L41" i="17"/>
  <c r="K41" i="17"/>
  <c r="J41" i="17"/>
  <c r="N41" i="17"/>
  <c r="AD41" i="17" s="1"/>
  <c r="M41" i="17"/>
  <c r="Z40" i="17"/>
  <c r="X40" i="17"/>
  <c r="V40" i="17"/>
  <c r="K41" i="16"/>
  <c r="M41" i="16"/>
  <c r="N41" i="16"/>
  <c r="AD41" i="16" s="1"/>
  <c r="L41" i="16"/>
  <c r="J41" i="16"/>
  <c r="Z40" i="16"/>
  <c r="V40" i="16"/>
  <c r="X40" i="16"/>
  <c r="J41" i="3"/>
  <c r="K41" i="3"/>
  <c r="L41" i="3"/>
  <c r="M41" i="3"/>
  <c r="N41" i="3"/>
  <c r="AD41" i="3" s="1"/>
  <c r="L42" i="19" l="1"/>
  <c r="K42" i="19"/>
  <c r="J42" i="19"/>
  <c r="M42" i="19"/>
  <c r="N42" i="19"/>
  <c r="AD42" i="19" s="1"/>
  <c r="Z41" i="19"/>
  <c r="X41" i="19"/>
  <c r="V41" i="19"/>
  <c r="I51" i="18"/>
  <c r="P50" i="18"/>
  <c r="T50" i="18" s="1"/>
  <c r="N42" i="18"/>
  <c r="AD42" i="18" s="1"/>
  <c r="M42" i="18"/>
  <c r="L42" i="18"/>
  <c r="K42" i="18"/>
  <c r="J42" i="18"/>
  <c r="X41" i="18"/>
  <c r="V41" i="18"/>
  <c r="Z41" i="18"/>
  <c r="K42" i="17"/>
  <c r="N42" i="17"/>
  <c r="AD42" i="17" s="1"/>
  <c r="M42" i="17"/>
  <c r="L42" i="17"/>
  <c r="J42" i="17"/>
  <c r="Z41" i="17"/>
  <c r="X41" i="17"/>
  <c r="V41" i="17"/>
  <c r="L42" i="3"/>
  <c r="K42" i="3"/>
  <c r="N42" i="3"/>
  <c r="AD42" i="3" s="1"/>
  <c r="J42" i="3"/>
  <c r="M42" i="3"/>
  <c r="M42" i="16"/>
  <c r="K42" i="16"/>
  <c r="L42" i="16"/>
  <c r="J42" i="16"/>
  <c r="N42" i="16"/>
  <c r="AD42" i="16" s="1"/>
  <c r="V41" i="16"/>
  <c r="Z41" i="16"/>
  <c r="X41" i="16"/>
  <c r="N43" i="19" l="1"/>
  <c r="AD43" i="19" s="1"/>
  <c r="M43" i="19"/>
  <c r="L43" i="19"/>
  <c r="K43" i="19"/>
  <c r="J43" i="19"/>
  <c r="Z42" i="19"/>
  <c r="X42" i="19"/>
  <c r="V42" i="19"/>
  <c r="N43" i="18"/>
  <c r="AD43" i="18" s="1"/>
  <c r="M43" i="18"/>
  <c r="L43" i="18"/>
  <c r="K43" i="18"/>
  <c r="J43" i="18"/>
  <c r="X42" i="18"/>
  <c r="V42" i="18"/>
  <c r="Z42" i="18"/>
  <c r="I52" i="18"/>
  <c r="P51" i="18"/>
  <c r="T51" i="18" s="1"/>
  <c r="N43" i="17"/>
  <c r="AD43" i="17" s="1"/>
  <c r="M43" i="17"/>
  <c r="L43" i="17"/>
  <c r="K43" i="17"/>
  <c r="J43" i="17"/>
  <c r="X42" i="17"/>
  <c r="V42" i="17"/>
  <c r="Z42" i="17"/>
  <c r="L43" i="3"/>
  <c r="K43" i="3"/>
  <c r="J43" i="3"/>
  <c r="N43" i="3"/>
  <c r="AD43" i="3" s="1"/>
  <c r="M43" i="3"/>
  <c r="M43" i="16"/>
  <c r="K43" i="16"/>
  <c r="N43" i="16"/>
  <c r="AD43" i="16" s="1"/>
  <c r="L43" i="16"/>
  <c r="J43" i="16"/>
  <c r="V42" i="16"/>
  <c r="Z42" i="16"/>
  <c r="X42" i="16"/>
  <c r="J44" i="19" l="1"/>
  <c r="N44" i="19"/>
  <c r="AD44" i="19" s="1"/>
  <c r="M44" i="19"/>
  <c r="L44" i="19"/>
  <c r="K44" i="19"/>
  <c r="X43" i="19"/>
  <c r="V43" i="19"/>
  <c r="Z43" i="19"/>
  <c r="I53" i="18"/>
  <c r="P52" i="18"/>
  <c r="T52" i="18" s="1"/>
  <c r="J44" i="18"/>
  <c r="N44" i="18"/>
  <c r="AD44" i="18" s="1"/>
  <c r="M44" i="18"/>
  <c r="L44" i="18"/>
  <c r="K44" i="18"/>
  <c r="X43" i="18"/>
  <c r="V43" i="18"/>
  <c r="Z43" i="18"/>
  <c r="J44" i="17"/>
  <c r="M44" i="17"/>
  <c r="N44" i="17"/>
  <c r="AD44" i="17" s="1"/>
  <c r="L44" i="17"/>
  <c r="K44" i="17"/>
  <c r="V43" i="17"/>
  <c r="Z43" i="17"/>
  <c r="X43" i="17"/>
  <c r="M44" i="16"/>
  <c r="K44" i="16"/>
  <c r="N44" i="16"/>
  <c r="AD44" i="16" s="1"/>
  <c r="L44" i="16"/>
  <c r="J44" i="16"/>
  <c r="Z43" i="16"/>
  <c r="V43" i="16"/>
  <c r="X43" i="16"/>
  <c r="L44" i="3"/>
  <c r="K44" i="3"/>
  <c r="J44" i="3"/>
  <c r="N44" i="3"/>
  <c r="AD44" i="3" s="1"/>
  <c r="M44" i="3"/>
  <c r="J45" i="19" l="1"/>
  <c r="M45" i="19"/>
  <c r="L45" i="19"/>
  <c r="K45" i="19"/>
  <c r="N45" i="19"/>
  <c r="AD45" i="19" s="1"/>
  <c r="Z44" i="19"/>
  <c r="X44" i="19"/>
  <c r="V44" i="19"/>
  <c r="N45" i="18"/>
  <c r="AD45" i="18" s="1"/>
  <c r="M45" i="18"/>
  <c r="L45" i="18"/>
  <c r="K45" i="18"/>
  <c r="J45" i="18"/>
  <c r="Z44" i="18"/>
  <c r="X44" i="18"/>
  <c r="V44" i="18"/>
  <c r="I54" i="18"/>
  <c r="P53" i="18"/>
  <c r="T53" i="18" s="1"/>
  <c r="N45" i="17"/>
  <c r="AD45" i="17" s="1"/>
  <c r="M45" i="17"/>
  <c r="L45" i="17"/>
  <c r="K45" i="17"/>
  <c r="J45" i="17"/>
  <c r="Z44" i="17"/>
  <c r="X44" i="17"/>
  <c r="V44" i="17"/>
  <c r="M45" i="16"/>
  <c r="K45" i="16"/>
  <c r="J45" i="16"/>
  <c r="N45" i="16"/>
  <c r="AD45" i="16" s="1"/>
  <c r="L45" i="16"/>
  <c r="Z44" i="16"/>
  <c r="V44" i="16"/>
  <c r="X44" i="16"/>
  <c r="M45" i="3"/>
  <c r="L45" i="3"/>
  <c r="K45" i="3"/>
  <c r="J45" i="3"/>
  <c r="N45" i="3"/>
  <c r="AD45" i="3" s="1"/>
  <c r="L46" i="19" l="1"/>
  <c r="K46" i="19"/>
  <c r="N46" i="19"/>
  <c r="AD46" i="19" s="1"/>
  <c r="M46" i="19"/>
  <c r="J46" i="19"/>
  <c r="V45" i="19"/>
  <c r="Z45" i="19"/>
  <c r="X45" i="19"/>
  <c r="I55" i="18"/>
  <c r="P54" i="18"/>
  <c r="T54" i="18" s="1"/>
  <c r="L46" i="18"/>
  <c r="K46" i="18"/>
  <c r="J46" i="18"/>
  <c r="N46" i="18"/>
  <c r="AD46" i="18" s="1"/>
  <c r="M46" i="18"/>
  <c r="Z45" i="18"/>
  <c r="X45" i="18"/>
  <c r="V45" i="18"/>
  <c r="L46" i="17"/>
  <c r="K46" i="17"/>
  <c r="J46" i="17"/>
  <c r="N46" i="17"/>
  <c r="AD46" i="17" s="1"/>
  <c r="M46" i="17"/>
  <c r="Z45" i="17"/>
  <c r="X45" i="17"/>
  <c r="V45" i="17"/>
  <c r="K46" i="16"/>
  <c r="M46" i="16"/>
  <c r="N46" i="16"/>
  <c r="AD46" i="16" s="1"/>
  <c r="L46" i="16"/>
  <c r="J46" i="16"/>
  <c r="Z45" i="16"/>
  <c r="V45" i="16"/>
  <c r="X45" i="16"/>
  <c r="K46" i="3"/>
  <c r="N46" i="3"/>
  <c r="AD46" i="3" s="1"/>
  <c r="M46" i="3"/>
  <c r="L46" i="3"/>
  <c r="J46" i="3"/>
  <c r="L47" i="19" l="1"/>
  <c r="K47" i="19"/>
  <c r="J47" i="19"/>
  <c r="N47" i="19"/>
  <c r="AD47" i="19" s="1"/>
  <c r="M47" i="19"/>
  <c r="V46" i="19"/>
  <c r="Z46" i="19"/>
  <c r="X46" i="19"/>
  <c r="N47" i="18"/>
  <c r="AD47" i="18" s="1"/>
  <c r="M47" i="18"/>
  <c r="L47" i="18"/>
  <c r="K47" i="18"/>
  <c r="J47" i="18"/>
  <c r="Z46" i="18"/>
  <c r="X46" i="18"/>
  <c r="V46" i="18"/>
  <c r="I56" i="18"/>
  <c r="P55" i="18"/>
  <c r="T55" i="18" s="1"/>
  <c r="K47" i="17"/>
  <c r="J47" i="17"/>
  <c r="N47" i="17"/>
  <c r="AD47" i="17" s="1"/>
  <c r="M47" i="17"/>
  <c r="L47" i="17"/>
  <c r="V46" i="17"/>
  <c r="Z46" i="17"/>
  <c r="X46" i="17"/>
  <c r="M47" i="16"/>
  <c r="K47" i="16"/>
  <c r="N47" i="16"/>
  <c r="AD47" i="16" s="1"/>
  <c r="L47" i="16"/>
  <c r="J47" i="16"/>
  <c r="V46" i="16"/>
  <c r="X46" i="16"/>
  <c r="Z46" i="16"/>
  <c r="K47" i="3"/>
  <c r="N47" i="3"/>
  <c r="AD47" i="3" s="1"/>
  <c r="M47" i="3"/>
  <c r="L47" i="3"/>
  <c r="J47" i="3"/>
  <c r="N48" i="19" l="1"/>
  <c r="AD48" i="19" s="1"/>
  <c r="M48" i="19"/>
  <c r="L48" i="19"/>
  <c r="K48" i="19"/>
  <c r="J48" i="19"/>
  <c r="X47" i="19"/>
  <c r="V47" i="19"/>
  <c r="Z47" i="19"/>
  <c r="N48" i="18"/>
  <c r="AD48" i="18" s="1"/>
  <c r="M48" i="18"/>
  <c r="L48" i="18"/>
  <c r="K48" i="18"/>
  <c r="J48" i="18"/>
  <c r="Z47" i="18"/>
  <c r="X47" i="18"/>
  <c r="V47" i="18"/>
  <c r="I57" i="18"/>
  <c r="P56" i="18"/>
  <c r="T56" i="18" s="1"/>
  <c r="N48" i="17"/>
  <c r="AD48" i="17" s="1"/>
  <c r="M48" i="17"/>
  <c r="L48" i="17"/>
  <c r="K48" i="17"/>
  <c r="J48" i="17"/>
  <c r="X47" i="17"/>
  <c r="V47" i="17"/>
  <c r="Z47" i="17"/>
  <c r="M48" i="16"/>
  <c r="K48" i="16"/>
  <c r="N48" i="16"/>
  <c r="AD48" i="16" s="1"/>
  <c r="L48" i="16"/>
  <c r="J48" i="16"/>
  <c r="Z47" i="16"/>
  <c r="X47" i="16"/>
  <c r="V47" i="16"/>
  <c r="K48" i="3"/>
  <c r="M48" i="3"/>
  <c r="N48" i="3"/>
  <c r="AD48" i="3" s="1"/>
  <c r="L48" i="3"/>
  <c r="J48" i="3"/>
  <c r="J49" i="19" l="1"/>
  <c r="N49" i="19"/>
  <c r="AD49" i="19" s="1"/>
  <c r="M49" i="19"/>
  <c r="L49" i="19"/>
  <c r="K49" i="19"/>
  <c r="Z48" i="19"/>
  <c r="X48" i="19"/>
  <c r="V48" i="19"/>
  <c r="J49" i="18"/>
  <c r="N49" i="18"/>
  <c r="AD49" i="18" s="1"/>
  <c r="M49" i="18"/>
  <c r="L49" i="18"/>
  <c r="K49" i="18"/>
  <c r="Z48" i="18"/>
  <c r="X48" i="18"/>
  <c r="V48" i="18"/>
  <c r="I58" i="18"/>
  <c r="P57" i="18"/>
  <c r="T57" i="18" s="1"/>
  <c r="J49" i="17"/>
  <c r="M49" i="17"/>
  <c r="N49" i="17"/>
  <c r="AD49" i="17" s="1"/>
  <c r="L49" i="17"/>
  <c r="K49" i="17"/>
  <c r="V48" i="17"/>
  <c r="X48" i="17"/>
  <c r="Z48" i="17"/>
  <c r="M49" i="16"/>
  <c r="K49" i="16"/>
  <c r="N49" i="16"/>
  <c r="AD49" i="16" s="1"/>
  <c r="L49" i="16"/>
  <c r="J49" i="16"/>
  <c r="Z48" i="16"/>
  <c r="X48" i="16"/>
  <c r="V48" i="16"/>
  <c r="J49" i="3"/>
  <c r="N49" i="3"/>
  <c r="AD49" i="3" s="1"/>
  <c r="M49" i="3"/>
  <c r="L49" i="3"/>
  <c r="K49" i="3"/>
  <c r="J50" i="19" l="1"/>
  <c r="L50" i="19"/>
  <c r="K50" i="19"/>
  <c r="N50" i="19"/>
  <c r="AD50" i="19" s="1"/>
  <c r="M50" i="19"/>
  <c r="Z49" i="19"/>
  <c r="X49" i="19"/>
  <c r="V49" i="19"/>
  <c r="I59" i="18"/>
  <c r="P58" i="18"/>
  <c r="T58" i="18" s="1"/>
  <c r="N50" i="18"/>
  <c r="AD50" i="18" s="1"/>
  <c r="M50" i="18"/>
  <c r="L50" i="18"/>
  <c r="K50" i="18"/>
  <c r="J50" i="18"/>
  <c r="Z49" i="18"/>
  <c r="X49" i="18"/>
  <c r="V49" i="18"/>
  <c r="N50" i="17"/>
  <c r="AD50" i="17" s="1"/>
  <c r="M50" i="17"/>
  <c r="L50" i="17"/>
  <c r="K50" i="17"/>
  <c r="J50" i="17"/>
  <c r="Z49" i="17"/>
  <c r="X49" i="17"/>
  <c r="V49" i="17"/>
  <c r="K50" i="3"/>
  <c r="J50" i="3"/>
  <c r="N50" i="3"/>
  <c r="AD50" i="3" s="1"/>
  <c r="L50" i="3"/>
  <c r="M50" i="3"/>
  <c r="M50" i="16"/>
  <c r="K50" i="16"/>
  <c r="N50" i="16"/>
  <c r="AD50" i="16" s="1"/>
  <c r="L50" i="16"/>
  <c r="J50" i="16"/>
  <c r="X49" i="16"/>
  <c r="V49" i="16"/>
  <c r="Z49" i="16"/>
  <c r="L51" i="19" l="1"/>
  <c r="K51" i="19"/>
  <c r="N51" i="19"/>
  <c r="AD51" i="19" s="1"/>
  <c r="M51" i="19"/>
  <c r="J51" i="19"/>
  <c r="V50" i="19"/>
  <c r="X50" i="19"/>
  <c r="Z50" i="19"/>
  <c r="I60" i="18"/>
  <c r="P59" i="18"/>
  <c r="T59" i="18" s="1"/>
  <c r="L51" i="18"/>
  <c r="K51" i="18"/>
  <c r="J51" i="18"/>
  <c r="N51" i="18"/>
  <c r="AD51" i="18" s="1"/>
  <c r="M51" i="18"/>
  <c r="Z50" i="18"/>
  <c r="X50" i="18"/>
  <c r="V50" i="18"/>
  <c r="L51" i="17"/>
  <c r="K51" i="17"/>
  <c r="J51" i="17"/>
  <c r="N51" i="17"/>
  <c r="AD51" i="17" s="1"/>
  <c r="M51" i="17"/>
  <c r="Z50" i="17"/>
  <c r="V50" i="17"/>
  <c r="X50" i="17"/>
  <c r="K51" i="16"/>
  <c r="M51" i="16"/>
  <c r="N51" i="16"/>
  <c r="AD51" i="16" s="1"/>
  <c r="L51" i="16"/>
  <c r="J51" i="16"/>
  <c r="V50" i="16"/>
  <c r="Z50" i="16"/>
  <c r="X50" i="16"/>
  <c r="K51" i="3"/>
  <c r="N51" i="3"/>
  <c r="AD51" i="3" s="1"/>
  <c r="M51" i="3"/>
  <c r="L51" i="3"/>
  <c r="J51" i="3"/>
  <c r="L52" i="19" l="1"/>
  <c r="K52" i="19"/>
  <c r="J52" i="19"/>
  <c r="N52" i="19"/>
  <c r="AD52" i="19" s="1"/>
  <c r="M52" i="19"/>
  <c r="X51" i="19"/>
  <c r="V51" i="19"/>
  <c r="Z51" i="19"/>
  <c r="N52" i="18"/>
  <c r="AD52" i="18" s="1"/>
  <c r="M52" i="18"/>
  <c r="L52" i="18"/>
  <c r="K52" i="18"/>
  <c r="J52" i="18"/>
  <c r="Z51" i="18"/>
  <c r="X51" i="18"/>
  <c r="V51" i="18"/>
  <c r="I61" i="18"/>
  <c r="P60" i="18"/>
  <c r="T60" i="18" s="1"/>
  <c r="K52" i="17"/>
  <c r="N52" i="17"/>
  <c r="AD52" i="17" s="1"/>
  <c r="M52" i="17"/>
  <c r="L52" i="17"/>
  <c r="J52" i="17"/>
  <c r="X51" i="17"/>
  <c r="V51" i="17"/>
  <c r="Z51" i="17"/>
  <c r="L52" i="3"/>
  <c r="M52" i="3"/>
  <c r="K52" i="3"/>
  <c r="J52" i="3"/>
  <c r="N52" i="3"/>
  <c r="AD52" i="3" s="1"/>
  <c r="M52" i="16"/>
  <c r="K52" i="16"/>
  <c r="L52" i="16"/>
  <c r="J52" i="16"/>
  <c r="N52" i="16"/>
  <c r="AD52" i="16" s="1"/>
  <c r="Z51" i="16"/>
  <c r="V51" i="16"/>
  <c r="X51" i="16"/>
  <c r="N53" i="19" l="1"/>
  <c r="AD53" i="19" s="1"/>
  <c r="M53" i="19"/>
  <c r="L53" i="19"/>
  <c r="K53" i="19"/>
  <c r="J53" i="19"/>
  <c r="Z52" i="19"/>
  <c r="X52" i="19"/>
  <c r="V52" i="19"/>
  <c r="N53" i="18"/>
  <c r="AD53" i="18" s="1"/>
  <c r="M53" i="18"/>
  <c r="L53" i="18"/>
  <c r="K53" i="18"/>
  <c r="J53" i="18"/>
  <c r="X52" i="18"/>
  <c r="V52" i="18"/>
  <c r="Z52" i="18"/>
  <c r="I62" i="18"/>
  <c r="P61" i="18"/>
  <c r="T61" i="18" s="1"/>
  <c r="N53" i="17"/>
  <c r="AD53" i="17" s="1"/>
  <c r="M53" i="17"/>
  <c r="L53" i="17"/>
  <c r="K53" i="17"/>
  <c r="J53" i="17"/>
  <c r="X52" i="17"/>
  <c r="V52" i="17"/>
  <c r="Z52" i="17"/>
  <c r="L53" i="3"/>
  <c r="K53" i="3"/>
  <c r="M53" i="3"/>
  <c r="J53" i="3"/>
  <c r="N53" i="3"/>
  <c r="AD53" i="3" s="1"/>
  <c r="M53" i="16"/>
  <c r="K53" i="16"/>
  <c r="N53" i="16"/>
  <c r="AD53" i="16" s="1"/>
  <c r="L53" i="16"/>
  <c r="J53" i="16"/>
  <c r="X52" i="16"/>
  <c r="V52" i="16"/>
  <c r="Z52" i="16"/>
  <c r="J54" i="19" l="1"/>
  <c r="N54" i="19"/>
  <c r="AD54" i="19" s="1"/>
  <c r="M54" i="19"/>
  <c r="L54" i="19"/>
  <c r="K54" i="19"/>
  <c r="X53" i="19"/>
  <c r="V53" i="19"/>
  <c r="Z53" i="19"/>
  <c r="I63" i="18"/>
  <c r="P62" i="18"/>
  <c r="T62" i="18" s="1"/>
  <c r="J54" i="18"/>
  <c r="N54" i="18"/>
  <c r="AD54" i="18" s="1"/>
  <c r="M54" i="18"/>
  <c r="L54" i="18"/>
  <c r="K54" i="18"/>
  <c r="Z53" i="18"/>
  <c r="X53" i="18"/>
  <c r="V53" i="18"/>
  <c r="J54" i="17"/>
  <c r="M54" i="17"/>
  <c r="N54" i="17"/>
  <c r="AD54" i="17" s="1"/>
  <c r="L54" i="17"/>
  <c r="K54" i="17"/>
  <c r="V53" i="17"/>
  <c r="X53" i="17"/>
  <c r="Z53" i="17"/>
  <c r="M54" i="16"/>
  <c r="K54" i="16"/>
  <c r="N54" i="16"/>
  <c r="AD54" i="16" s="1"/>
  <c r="L54" i="16"/>
  <c r="J54" i="16"/>
  <c r="Z53" i="16"/>
  <c r="V53" i="16"/>
  <c r="X53" i="16"/>
  <c r="J54" i="3"/>
  <c r="N54" i="3"/>
  <c r="AD54" i="3" s="1"/>
  <c r="L54" i="3"/>
  <c r="K54" i="3"/>
  <c r="M54" i="3"/>
  <c r="J55" i="19" l="1"/>
  <c r="K55" i="19"/>
  <c r="N55" i="19"/>
  <c r="AD55" i="19" s="1"/>
  <c r="M55" i="19"/>
  <c r="L55" i="19"/>
  <c r="Z54" i="19"/>
  <c r="X54" i="19"/>
  <c r="V54" i="19"/>
  <c r="N55" i="18"/>
  <c r="AD55" i="18" s="1"/>
  <c r="M55" i="18"/>
  <c r="L55" i="18"/>
  <c r="K55" i="18"/>
  <c r="J55" i="18"/>
  <c r="V54" i="18"/>
  <c r="Z54" i="18"/>
  <c r="X54" i="18"/>
  <c r="I64" i="18"/>
  <c r="P63" i="18"/>
  <c r="T63" i="18" s="1"/>
  <c r="N55" i="17"/>
  <c r="AD55" i="17" s="1"/>
  <c r="J55" i="17"/>
  <c r="M55" i="17"/>
  <c r="L55" i="17"/>
  <c r="K55" i="17"/>
  <c r="V54" i="17"/>
  <c r="Z54" i="17"/>
  <c r="X54" i="17"/>
  <c r="M55" i="3"/>
  <c r="L55" i="3"/>
  <c r="K55" i="3"/>
  <c r="N55" i="3"/>
  <c r="AD55" i="3" s="1"/>
  <c r="J55" i="3"/>
  <c r="M55" i="16"/>
  <c r="K55" i="16"/>
  <c r="J55" i="16"/>
  <c r="N55" i="16"/>
  <c r="AD55" i="16" s="1"/>
  <c r="L55" i="16"/>
  <c r="V54" i="16"/>
  <c r="Z54" i="16"/>
  <c r="X54" i="16"/>
  <c r="L56" i="19" l="1"/>
  <c r="K56" i="19"/>
  <c r="N56" i="19"/>
  <c r="AD56" i="19" s="1"/>
  <c r="M56" i="19"/>
  <c r="J56" i="19"/>
  <c r="Z55" i="19"/>
  <c r="X55" i="19"/>
  <c r="V55" i="19"/>
  <c r="L56" i="18"/>
  <c r="K56" i="18"/>
  <c r="J56" i="18"/>
  <c r="N56" i="18"/>
  <c r="AD56" i="18" s="1"/>
  <c r="M56" i="18"/>
  <c r="X55" i="18"/>
  <c r="V55" i="18"/>
  <c r="Z55" i="18"/>
  <c r="I65" i="18"/>
  <c r="P64" i="18"/>
  <c r="T64" i="18" s="1"/>
  <c r="L56" i="17"/>
  <c r="K56" i="17"/>
  <c r="J56" i="17"/>
  <c r="M56" i="17"/>
  <c r="N56" i="17"/>
  <c r="AD56" i="17" s="1"/>
  <c r="X55" i="17"/>
  <c r="V55" i="17"/>
  <c r="Z55" i="17"/>
  <c r="L56" i="3"/>
  <c r="K56" i="3"/>
  <c r="J56" i="3"/>
  <c r="N56" i="3"/>
  <c r="AD56" i="3" s="1"/>
  <c r="M56" i="3"/>
  <c r="K56" i="16"/>
  <c r="M56" i="16"/>
  <c r="N56" i="16"/>
  <c r="AD56" i="16" s="1"/>
  <c r="L56" i="16"/>
  <c r="J56" i="16"/>
  <c r="Z55" i="16"/>
  <c r="V55" i="16"/>
  <c r="X55" i="16"/>
  <c r="L57" i="19" l="1"/>
  <c r="K57" i="19"/>
  <c r="J57" i="19"/>
  <c r="N57" i="19"/>
  <c r="AD57" i="19" s="1"/>
  <c r="M57" i="19"/>
  <c r="V56" i="19"/>
  <c r="Z56" i="19"/>
  <c r="X56" i="19"/>
  <c r="I66" i="18"/>
  <c r="P66" i="18" s="1"/>
  <c r="T66" i="18" s="1"/>
  <c r="P65" i="18"/>
  <c r="T65" i="18" s="1"/>
  <c r="N57" i="18"/>
  <c r="AD57" i="18" s="1"/>
  <c r="M57" i="18"/>
  <c r="L57" i="18"/>
  <c r="K57" i="18"/>
  <c r="J57" i="18"/>
  <c r="X56" i="18"/>
  <c r="V56" i="18"/>
  <c r="Z56" i="18"/>
  <c r="K57" i="17"/>
  <c r="M57" i="17"/>
  <c r="L57" i="17"/>
  <c r="J57" i="17"/>
  <c r="N57" i="17"/>
  <c r="AD57" i="17" s="1"/>
  <c r="Z56" i="17"/>
  <c r="V56" i="17"/>
  <c r="X56" i="17"/>
  <c r="M57" i="3"/>
  <c r="L57" i="3"/>
  <c r="K57" i="3"/>
  <c r="J57" i="3"/>
  <c r="N57" i="3"/>
  <c r="AD57" i="3" s="1"/>
  <c r="M57" i="16"/>
  <c r="K57" i="16"/>
  <c r="N57" i="16"/>
  <c r="AD57" i="16" s="1"/>
  <c r="L57" i="16"/>
  <c r="J57" i="16"/>
  <c r="Z56" i="16"/>
  <c r="V56" i="16"/>
  <c r="X56" i="16"/>
  <c r="N58" i="19" l="1"/>
  <c r="AD58" i="19" s="1"/>
  <c r="M58" i="19"/>
  <c r="K58" i="19"/>
  <c r="J58" i="19"/>
  <c r="L58" i="19"/>
  <c r="X57" i="19"/>
  <c r="V57" i="19"/>
  <c r="Z57" i="19"/>
  <c r="N58" i="18"/>
  <c r="AD58" i="18" s="1"/>
  <c r="M58" i="18"/>
  <c r="L58" i="18"/>
  <c r="K58" i="18"/>
  <c r="J58" i="18"/>
  <c r="X57" i="18"/>
  <c r="V57" i="18"/>
  <c r="Z57" i="18"/>
  <c r="N58" i="17"/>
  <c r="AD58" i="17" s="1"/>
  <c r="M58" i="17"/>
  <c r="L58" i="17"/>
  <c r="K58" i="17"/>
  <c r="J58" i="17"/>
  <c r="Z57" i="17"/>
  <c r="X57" i="17"/>
  <c r="V57" i="17"/>
  <c r="M58" i="16"/>
  <c r="K58" i="16"/>
  <c r="N58" i="16"/>
  <c r="AD58" i="16" s="1"/>
  <c r="L58" i="16"/>
  <c r="J58" i="16"/>
  <c r="X57" i="16"/>
  <c r="V57" i="16"/>
  <c r="Z57" i="16"/>
  <c r="L58" i="3"/>
  <c r="K58" i="3"/>
  <c r="J58" i="3"/>
  <c r="N58" i="3"/>
  <c r="AD58" i="3" s="1"/>
  <c r="M58" i="3"/>
  <c r="J59" i="19" l="1"/>
  <c r="N59" i="19"/>
  <c r="AD59" i="19" s="1"/>
  <c r="M59" i="19"/>
  <c r="L59" i="19"/>
  <c r="K59" i="19"/>
  <c r="X58" i="19"/>
  <c r="V58" i="19"/>
  <c r="Z58" i="19"/>
  <c r="J59" i="18"/>
  <c r="N59" i="18"/>
  <c r="AD59" i="18" s="1"/>
  <c r="M59" i="18"/>
  <c r="L59" i="18"/>
  <c r="K59" i="18"/>
  <c r="Z58" i="18"/>
  <c r="X58" i="18"/>
  <c r="V58" i="18"/>
  <c r="J59" i="17"/>
  <c r="M59" i="17"/>
  <c r="N59" i="17"/>
  <c r="AD59" i="17" s="1"/>
  <c r="L59" i="17"/>
  <c r="K59" i="17"/>
  <c r="V58" i="17"/>
  <c r="Z58" i="17"/>
  <c r="X58" i="17"/>
  <c r="M59" i="16"/>
  <c r="K59" i="16"/>
  <c r="N59" i="16"/>
  <c r="AD59" i="16" s="1"/>
  <c r="L59" i="16"/>
  <c r="J59" i="16"/>
  <c r="Z58" i="16"/>
  <c r="V58" i="16"/>
  <c r="X58" i="16"/>
  <c r="L59" i="3"/>
  <c r="J59" i="3"/>
  <c r="M59" i="3"/>
  <c r="K59" i="3"/>
  <c r="N59" i="3"/>
  <c r="AD59" i="3" s="1"/>
  <c r="J60" i="19" l="1"/>
  <c r="N60" i="19"/>
  <c r="AD60" i="19" s="1"/>
  <c r="M60" i="19"/>
  <c r="L60" i="19"/>
  <c r="K60" i="19"/>
  <c r="Z59" i="19"/>
  <c r="X59" i="19"/>
  <c r="V59" i="19"/>
  <c r="N60" i="18"/>
  <c r="AD60" i="18" s="1"/>
  <c r="M60" i="18"/>
  <c r="L60" i="18"/>
  <c r="K60" i="18"/>
  <c r="J60" i="18"/>
  <c r="Z59" i="18"/>
  <c r="X59" i="18"/>
  <c r="V59" i="18"/>
  <c r="N60" i="17"/>
  <c r="AD60" i="17" s="1"/>
  <c r="M60" i="17"/>
  <c r="L60" i="17"/>
  <c r="K60" i="17"/>
  <c r="J60" i="17"/>
  <c r="Z59" i="17"/>
  <c r="X59" i="17"/>
  <c r="V59" i="17"/>
  <c r="J60" i="3"/>
  <c r="K60" i="3"/>
  <c r="N60" i="3"/>
  <c r="AD60" i="3" s="1"/>
  <c r="M60" i="3"/>
  <c r="L60" i="3"/>
  <c r="M60" i="16"/>
  <c r="K60" i="16"/>
  <c r="N60" i="16"/>
  <c r="AD60" i="16" s="1"/>
  <c r="L60" i="16"/>
  <c r="J60" i="16"/>
  <c r="V59" i="16"/>
  <c r="Z59" i="16"/>
  <c r="X59" i="16"/>
  <c r="L61" i="19" l="1"/>
  <c r="K61" i="19"/>
  <c r="N61" i="19"/>
  <c r="AD61" i="19" s="1"/>
  <c r="M61" i="19"/>
  <c r="J61" i="19"/>
  <c r="Z60" i="19"/>
  <c r="X60" i="19"/>
  <c r="V60" i="19"/>
  <c r="L61" i="18"/>
  <c r="K61" i="18"/>
  <c r="J61" i="18"/>
  <c r="N61" i="18"/>
  <c r="AD61" i="18" s="1"/>
  <c r="M61" i="18"/>
  <c r="Z60" i="18"/>
  <c r="X60" i="18"/>
  <c r="V60" i="18"/>
  <c r="L61" i="17"/>
  <c r="K61" i="17"/>
  <c r="J61" i="17"/>
  <c r="N61" i="17"/>
  <c r="AD61" i="17" s="1"/>
  <c r="M61" i="17"/>
  <c r="Z60" i="17"/>
  <c r="X60" i="17"/>
  <c r="V60" i="17"/>
  <c r="K61" i="16"/>
  <c r="M61" i="16"/>
  <c r="N61" i="16"/>
  <c r="AD61" i="16" s="1"/>
  <c r="L61" i="16"/>
  <c r="J61" i="16"/>
  <c r="Z60" i="16"/>
  <c r="X60" i="16"/>
  <c r="V60" i="16"/>
  <c r="J61" i="3"/>
  <c r="N61" i="3"/>
  <c r="AD61" i="3" s="1"/>
  <c r="M61" i="3"/>
  <c r="L61" i="3"/>
  <c r="K61" i="3"/>
  <c r="L62" i="19" l="1"/>
  <c r="K62" i="19"/>
  <c r="J62" i="19"/>
  <c r="N62" i="19"/>
  <c r="AD62" i="19" s="1"/>
  <c r="M62" i="19"/>
  <c r="V61" i="19"/>
  <c r="Z61" i="19"/>
  <c r="X61" i="19"/>
  <c r="N62" i="18"/>
  <c r="AD62" i="18" s="1"/>
  <c r="M62" i="18"/>
  <c r="L62" i="18"/>
  <c r="K62" i="18"/>
  <c r="J62" i="18"/>
  <c r="Z61" i="18"/>
  <c r="X61" i="18"/>
  <c r="V61" i="18"/>
  <c r="K62" i="17"/>
  <c r="N62" i="17"/>
  <c r="AD62" i="17" s="1"/>
  <c r="M62" i="17"/>
  <c r="L62" i="17"/>
  <c r="J62" i="17"/>
  <c r="Z61" i="17"/>
  <c r="X61" i="17"/>
  <c r="V61" i="17"/>
  <c r="K62" i="3"/>
  <c r="J62" i="3"/>
  <c r="M62" i="3"/>
  <c r="L62" i="3"/>
  <c r="N62" i="3"/>
  <c r="AD62" i="3" s="1"/>
  <c r="M62" i="16"/>
  <c r="K62" i="16"/>
  <c r="L62" i="16"/>
  <c r="J62" i="16"/>
  <c r="N62" i="16"/>
  <c r="AD62" i="16" s="1"/>
  <c r="Z61" i="16"/>
  <c r="V61" i="16"/>
  <c r="X61" i="16"/>
  <c r="N63" i="19" l="1"/>
  <c r="AD63" i="19" s="1"/>
  <c r="M63" i="19"/>
  <c r="J63" i="19"/>
  <c r="L63" i="19"/>
  <c r="K63" i="19"/>
  <c r="X62" i="19"/>
  <c r="V62" i="19"/>
  <c r="Z62" i="19"/>
  <c r="N63" i="18"/>
  <c r="AD63" i="18" s="1"/>
  <c r="M63" i="18"/>
  <c r="L63" i="18"/>
  <c r="K63" i="18"/>
  <c r="J63" i="18"/>
  <c r="Z62" i="18"/>
  <c r="X62" i="18"/>
  <c r="V62" i="18"/>
  <c r="N63" i="17"/>
  <c r="AD63" i="17" s="1"/>
  <c r="M63" i="17"/>
  <c r="L63" i="17"/>
  <c r="K63" i="17"/>
  <c r="J63" i="17"/>
  <c r="Z62" i="17"/>
  <c r="V62" i="17"/>
  <c r="X62" i="17"/>
  <c r="J63" i="3"/>
  <c r="M63" i="3"/>
  <c r="L63" i="3"/>
  <c r="N63" i="3"/>
  <c r="AD63" i="3" s="1"/>
  <c r="K63" i="3"/>
  <c r="M63" i="16"/>
  <c r="K63" i="16"/>
  <c r="N63" i="16"/>
  <c r="AD63" i="16" s="1"/>
  <c r="L63" i="16"/>
  <c r="J63" i="16"/>
  <c r="X62" i="16"/>
  <c r="V62" i="16"/>
  <c r="Z62" i="16"/>
  <c r="J64" i="19" l="1"/>
  <c r="N64" i="19"/>
  <c r="AD64" i="19" s="1"/>
  <c r="M64" i="19"/>
  <c r="L64" i="19"/>
  <c r="K64" i="19"/>
  <c r="X63" i="19"/>
  <c r="V63" i="19"/>
  <c r="Z63" i="19"/>
  <c r="J64" i="18"/>
  <c r="N64" i="18"/>
  <c r="AD64" i="18" s="1"/>
  <c r="M64" i="18"/>
  <c r="L64" i="18"/>
  <c r="K64" i="18"/>
  <c r="X63" i="18"/>
  <c r="V63" i="18"/>
  <c r="Z63" i="18"/>
  <c r="J64" i="17"/>
  <c r="M64" i="17"/>
  <c r="L64" i="17"/>
  <c r="K64" i="17"/>
  <c r="N64" i="17"/>
  <c r="AD64" i="17" s="1"/>
  <c r="V63" i="17"/>
  <c r="X63" i="17"/>
  <c r="Z63" i="17"/>
  <c r="M64" i="16"/>
  <c r="L64" i="16"/>
  <c r="K64" i="16"/>
  <c r="N64" i="16"/>
  <c r="AD64" i="16" s="1"/>
  <c r="J64" i="16"/>
  <c r="Z63" i="16"/>
  <c r="V63" i="16"/>
  <c r="X63" i="16"/>
  <c r="N64" i="3"/>
  <c r="AD64" i="3" s="1"/>
  <c r="L64" i="3"/>
  <c r="M64" i="3"/>
  <c r="K64" i="3"/>
  <c r="J64" i="3"/>
  <c r="J65" i="19" l="1"/>
  <c r="N65" i="19"/>
  <c r="AD65" i="19" s="1"/>
  <c r="M65" i="19"/>
  <c r="L65" i="19"/>
  <c r="K65" i="19"/>
  <c r="Z64" i="19"/>
  <c r="X64" i="19"/>
  <c r="V64" i="19"/>
  <c r="N65" i="18"/>
  <c r="AD65" i="18" s="1"/>
  <c r="M65" i="18"/>
  <c r="L65" i="18"/>
  <c r="K65" i="18"/>
  <c r="J65" i="18"/>
  <c r="X64" i="18"/>
  <c r="V64" i="18"/>
  <c r="Z64" i="18"/>
  <c r="N65" i="17"/>
  <c r="AD65" i="17" s="1"/>
  <c r="L65" i="17"/>
  <c r="K65" i="17"/>
  <c r="J65" i="17"/>
  <c r="M65" i="17"/>
  <c r="Z64" i="17"/>
  <c r="X64" i="17"/>
  <c r="V64" i="17"/>
  <c r="M65" i="16"/>
  <c r="L65" i="16"/>
  <c r="K65" i="16"/>
  <c r="N65" i="16"/>
  <c r="AD65" i="16" s="1"/>
  <c r="J65" i="16"/>
  <c r="Z64" i="16"/>
  <c r="V64" i="16"/>
  <c r="X64" i="16"/>
  <c r="N65" i="3"/>
  <c r="AD65" i="3" s="1"/>
  <c r="M65" i="3"/>
  <c r="K65" i="3"/>
  <c r="L65" i="3"/>
  <c r="J65" i="3"/>
  <c r="L66" i="19" l="1"/>
  <c r="K66" i="19"/>
  <c r="J66" i="19"/>
  <c r="N66" i="19"/>
  <c r="AD66" i="19" s="1"/>
  <c r="AK9" i="19" s="1"/>
  <c r="M66" i="19"/>
  <c r="Z65" i="19"/>
  <c r="X65" i="19"/>
  <c r="V65" i="19"/>
  <c r="L66" i="18"/>
  <c r="K66" i="18"/>
  <c r="J66" i="18"/>
  <c r="N66" i="18"/>
  <c r="AD66" i="18" s="1"/>
  <c r="AK9" i="18" s="1"/>
  <c r="M66" i="18"/>
  <c r="Z65" i="18"/>
  <c r="X65" i="18"/>
  <c r="V65" i="18"/>
  <c r="L66" i="17"/>
  <c r="K66" i="17"/>
  <c r="J66" i="17"/>
  <c r="N66" i="17"/>
  <c r="AD66" i="17" s="1"/>
  <c r="AK9" i="17" s="1"/>
  <c r="M66" i="17"/>
  <c r="X65" i="17"/>
  <c r="V65" i="17"/>
  <c r="Z65" i="17"/>
  <c r="L66" i="16"/>
  <c r="K66" i="16"/>
  <c r="N66" i="16"/>
  <c r="AD66" i="16" s="1"/>
  <c r="AK9" i="16" s="1"/>
  <c r="M66" i="16"/>
  <c r="J66" i="16"/>
  <c r="Z65" i="16"/>
  <c r="V65" i="16"/>
  <c r="X65" i="16"/>
  <c r="M66" i="3"/>
  <c r="J66" i="3"/>
  <c r="N66" i="3"/>
  <c r="AD66" i="3" s="1"/>
  <c r="L66" i="3"/>
  <c r="K66" i="3"/>
  <c r="V66" i="19" l="1"/>
  <c r="AH9" i="19" s="1"/>
  <c r="Z66" i="19"/>
  <c r="AJ9" i="19" s="1"/>
  <c r="AL9" i="19" s="1"/>
  <c r="X66" i="19"/>
  <c r="AI9" i="19" s="1"/>
  <c r="Z66" i="18"/>
  <c r="AJ9" i="18" s="1"/>
  <c r="AL9" i="18" s="1"/>
  <c r="X66" i="18"/>
  <c r="AI9" i="18" s="1"/>
  <c r="V66" i="18"/>
  <c r="AH9" i="18" s="1"/>
  <c r="Z66" i="17"/>
  <c r="AJ9" i="17" s="1"/>
  <c r="AL9" i="17" s="1"/>
  <c r="X66" i="17"/>
  <c r="AI9" i="17" s="1"/>
  <c r="V66" i="17"/>
  <c r="AH9" i="17" s="1"/>
  <c r="X66" i="16"/>
  <c r="AI9" i="16" s="1"/>
  <c r="V66" i="16"/>
  <c r="AH9" i="16" s="1"/>
  <c r="C27" i="5" s="1"/>
  <c r="Z66" i="16"/>
  <c r="AJ9" i="16" s="1"/>
  <c r="AL9" i="16" s="1"/>
  <c r="D27" i="5" s="1"/>
  <c r="C20" i="5" l="1"/>
  <c r="C25" i="5"/>
  <c r="D25" i="5"/>
  <c r="D20" i="5"/>
  <c r="C7" i="5"/>
  <c r="C28" i="5"/>
  <c r="D7" i="5"/>
  <c r="D28" i="5"/>
  <c r="D26" i="5"/>
  <c r="D21" i="5"/>
  <c r="C21" i="5"/>
  <c r="E21" i="5" s="1"/>
  <c r="C26" i="5"/>
  <c r="E26" i="5" s="1"/>
  <c r="C6" i="5"/>
  <c r="C14" i="5"/>
  <c r="D14" i="5"/>
  <c r="D6" i="5"/>
  <c r="D13" i="5"/>
  <c r="D5" i="5"/>
  <c r="D8" i="5"/>
  <c r="D15" i="5"/>
  <c r="C5" i="5"/>
  <c r="C13" i="5"/>
  <c r="C8" i="5"/>
  <c r="C15" i="5"/>
  <c r="F8" i="5" l="1"/>
  <c r="F26" i="5"/>
  <c r="G26" i="5" s="1"/>
  <c r="F21" i="5"/>
  <c r="G21" i="5" s="1"/>
  <c r="E15" i="5"/>
  <c r="F6" i="5"/>
  <c r="E14" i="5"/>
  <c r="F14" i="5"/>
  <c r="F7" i="5"/>
  <c r="F15" i="5"/>
  <c r="E8" i="5"/>
  <c r="E7" i="5"/>
  <c r="G8" i="5" l="1"/>
  <c r="G7" i="5"/>
  <c r="G15" i="5"/>
  <c r="G14" i="5"/>
  <c r="I8" i="3"/>
  <c r="P8" i="3" s="1"/>
  <c r="T8" i="3" l="1"/>
  <c r="I9" i="3"/>
  <c r="P9" i="3" s="1"/>
  <c r="Z8" i="3" l="1"/>
  <c r="X8" i="3"/>
  <c r="V8" i="3"/>
  <c r="T9" i="3"/>
  <c r="I10" i="3"/>
  <c r="P10" i="3" s="1"/>
  <c r="Z9" i="3" l="1"/>
  <c r="X9" i="3"/>
  <c r="V9" i="3"/>
  <c r="T10" i="3"/>
  <c r="I11" i="3"/>
  <c r="P11" i="3" s="1"/>
  <c r="Z10" i="3" l="1"/>
  <c r="X10" i="3"/>
  <c r="V10" i="3"/>
  <c r="T11" i="3"/>
  <c r="I12" i="3"/>
  <c r="P12" i="3" s="1"/>
  <c r="Z11" i="3" l="1"/>
  <c r="X11" i="3"/>
  <c r="V11" i="3"/>
  <c r="T12" i="3"/>
  <c r="I13" i="3"/>
  <c r="P13" i="3" s="1"/>
  <c r="Z12" i="3" l="1"/>
  <c r="X12" i="3"/>
  <c r="V12" i="3"/>
  <c r="T13" i="3"/>
  <c r="I14" i="3"/>
  <c r="P14" i="3" s="1"/>
  <c r="Z13" i="3" l="1"/>
  <c r="X13" i="3"/>
  <c r="V13" i="3"/>
  <c r="T14" i="3"/>
  <c r="I15" i="3"/>
  <c r="P15" i="3" s="1"/>
  <c r="Z14" i="3" l="1"/>
  <c r="X14" i="3"/>
  <c r="V14" i="3"/>
  <c r="T15" i="3"/>
  <c r="I16" i="3"/>
  <c r="P16" i="3" s="1"/>
  <c r="Z15" i="3" l="1"/>
  <c r="X15" i="3"/>
  <c r="V15" i="3"/>
  <c r="T16" i="3"/>
  <c r="I17" i="3"/>
  <c r="P17" i="3" s="1"/>
  <c r="Z16" i="3" l="1"/>
  <c r="X16" i="3"/>
  <c r="V16" i="3"/>
  <c r="T17" i="3"/>
  <c r="I18" i="3"/>
  <c r="P18" i="3" s="1"/>
  <c r="Z17" i="3" l="1"/>
  <c r="X17" i="3"/>
  <c r="V17" i="3"/>
  <c r="T18" i="3"/>
  <c r="I19" i="3"/>
  <c r="P19" i="3" s="1"/>
  <c r="Z18" i="3" l="1"/>
  <c r="X18" i="3"/>
  <c r="V18" i="3"/>
  <c r="T19" i="3"/>
  <c r="I20" i="3"/>
  <c r="P20" i="3" s="1"/>
  <c r="Z19" i="3" l="1"/>
  <c r="X19" i="3"/>
  <c r="V19" i="3"/>
  <c r="T20" i="3"/>
  <c r="I21" i="3"/>
  <c r="P21" i="3" s="1"/>
  <c r="Z20" i="3" l="1"/>
  <c r="X20" i="3"/>
  <c r="V20" i="3"/>
  <c r="T21" i="3"/>
  <c r="I22" i="3"/>
  <c r="P22" i="3" s="1"/>
  <c r="Z21" i="3" l="1"/>
  <c r="X21" i="3"/>
  <c r="V21" i="3"/>
  <c r="T22" i="3"/>
  <c r="I23" i="3"/>
  <c r="P23" i="3" s="1"/>
  <c r="Z22" i="3" l="1"/>
  <c r="X22" i="3"/>
  <c r="V22" i="3"/>
  <c r="T23" i="3"/>
  <c r="I24" i="3"/>
  <c r="P24" i="3" s="1"/>
  <c r="Z23" i="3" l="1"/>
  <c r="X23" i="3"/>
  <c r="V23" i="3"/>
  <c r="T24" i="3"/>
  <c r="I25" i="3"/>
  <c r="P25" i="3" s="1"/>
  <c r="Z24" i="3" l="1"/>
  <c r="X24" i="3"/>
  <c r="V24" i="3"/>
  <c r="T25" i="3"/>
  <c r="I26" i="3"/>
  <c r="P26" i="3" s="1"/>
  <c r="Z25" i="3" l="1"/>
  <c r="X25" i="3"/>
  <c r="V25" i="3"/>
  <c r="T26" i="3"/>
  <c r="I27" i="3"/>
  <c r="P27" i="3" s="1"/>
  <c r="Z26" i="3" l="1"/>
  <c r="X26" i="3"/>
  <c r="V26" i="3"/>
  <c r="T27" i="3"/>
  <c r="I28" i="3"/>
  <c r="P28" i="3" s="1"/>
  <c r="Z27" i="3" l="1"/>
  <c r="X27" i="3"/>
  <c r="V27" i="3"/>
  <c r="T28" i="3"/>
  <c r="I29" i="3"/>
  <c r="P29" i="3" s="1"/>
  <c r="Z28" i="3" l="1"/>
  <c r="X28" i="3"/>
  <c r="V28" i="3"/>
  <c r="T29" i="3"/>
  <c r="I30" i="3"/>
  <c r="P30" i="3" s="1"/>
  <c r="Z29" i="3" l="1"/>
  <c r="X29" i="3"/>
  <c r="V29" i="3"/>
  <c r="T30" i="3"/>
  <c r="I31" i="3"/>
  <c r="P31" i="3" s="1"/>
  <c r="Z30" i="3" l="1"/>
  <c r="X30" i="3"/>
  <c r="V30" i="3"/>
  <c r="T31" i="3"/>
  <c r="I32" i="3"/>
  <c r="P32" i="3" s="1"/>
  <c r="Z31" i="3" l="1"/>
  <c r="X31" i="3"/>
  <c r="V31" i="3"/>
  <c r="T32" i="3"/>
  <c r="I33" i="3"/>
  <c r="P33" i="3" s="1"/>
  <c r="Z32" i="3" l="1"/>
  <c r="X32" i="3"/>
  <c r="V32" i="3"/>
  <c r="T33" i="3"/>
  <c r="I34" i="3"/>
  <c r="P34" i="3" s="1"/>
  <c r="Z33" i="3" l="1"/>
  <c r="X33" i="3"/>
  <c r="V33" i="3"/>
  <c r="T34" i="3"/>
  <c r="I35" i="3"/>
  <c r="P35" i="3" s="1"/>
  <c r="Z34" i="3" l="1"/>
  <c r="X34" i="3"/>
  <c r="V34" i="3"/>
  <c r="T35" i="3"/>
  <c r="I36" i="3"/>
  <c r="P36" i="3" s="1"/>
  <c r="Z35" i="3" l="1"/>
  <c r="X35" i="3"/>
  <c r="V35" i="3"/>
  <c r="T36" i="3"/>
  <c r="I37" i="3"/>
  <c r="P37" i="3" s="1"/>
  <c r="Z36" i="3" l="1"/>
  <c r="X36" i="3"/>
  <c r="V36" i="3"/>
  <c r="T37" i="3"/>
  <c r="I38" i="3"/>
  <c r="P38" i="3" s="1"/>
  <c r="Z37" i="3" l="1"/>
  <c r="X37" i="3"/>
  <c r="V37" i="3"/>
  <c r="T38" i="3"/>
  <c r="I39" i="3"/>
  <c r="P39" i="3" s="1"/>
  <c r="Z38" i="3" l="1"/>
  <c r="X38" i="3"/>
  <c r="V38" i="3"/>
  <c r="T39" i="3"/>
  <c r="I40" i="3"/>
  <c r="P40" i="3" s="1"/>
  <c r="Z39" i="3" l="1"/>
  <c r="X39" i="3"/>
  <c r="V39" i="3"/>
  <c r="T40" i="3"/>
  <c r="I41" i="3"/>
  <c r="P41" i="3" s="1"/>
  <c r="Z40" i="3" l="1"/>
  <c r="X40" i="3"/>
  <c r="V40" i="3"/>
  <c r="T41" i="3"/>
  <c r="I42" i="3"/>
  <c r="P42" i="3" s="1"/>
  <c r="Z41" i="3" l="1"/>
  <c r="X41" i="3"/>
  <c r="V41" i="3"/>
  <c r="T42" i="3"/>
  <c r="I43" i="3"/>
  <c r="P43" i="3" s="1"/>
  <c r="Z42" i="3" l="1"/>
  <c r="X42" i="3"/>
  <c r="V42" i="3"/>
  <c r="T43" i="3"/>
  <c r="I44" i="3"/>
  <c r="P44" i="3" s="1"/>
  <c r="Z43" i="3" l="1"/>
  <c r="X43" i="3"/>
  <c r="V43" i="3"/>
  <c r="T44" i="3"/>
  <c r="I45" i="3"/>
  <c r="P45" i="3" s="1"/>
  <c r="Z44" i="3" l="1"/>
  <c r="X44" i="3"/>
  <c r="V44" i="3"/>
  <c r="T45" i="3"/>
  <c r="I46" i="3"/>
  <c r="P46" i="3" s="1"/>
  <c r="Z45" i="3" l="1"/>
  <c r="X45" i="3"/>
  <c r="V45" i="3"/>
  <c r="T46" i="3"/>
  <c r="I47" i="3"/>
  <c r="P47" i="3" s="1"/>
  <c r="Z46" i="3" l="1"/>
  <c r="X46" i="3"/>
  <c r="V46" i="3"/>
  <c r="T47" i="3"/>
  <c r="I48" i="3"/>
  <c r="P48" i="3" s="1"/>
  <c r="Z47" i="3" l="1"/>
  <c r="X47" i="3"/>
  <c r="V47" i="3"/>
  <c r="T48" i="3"/>
  <c r="I49" i="3"/>
  <c r="P49" i="3" s="1"/>
  <c r="Z48" i="3" l="1"/>
  <c r="X48" i="3"/>
  <c r="V48" i="3"/>
  <c r="T49" i="3"/>
  <c r="I50" i="3"/>
  <c r="P50" i="3" s="1"/>
  <c r="Z49" i="3" l="1"/>
  <c r="X49" i="3"/>
  <c r="V49" i="3"/>
  <c r="T50" i="3"/>
  <c r="I51" i="3"/>
  <c r="P51" i="3" s="1"/>
  <c r="Z50" i="3" l="1"/>
  <c r="X50" i="3"/>
  <c r="V50" i="3"/>
  <c r="T51" i="3"/>
  <c r="I52" i="3"/>
  <c r="P52" i="3" s="1"/>
  <c r="Z51" i="3" l="1"/>
  <c r="X51" i="3"/>
  <c r="V51" i="3"/>
  <c r="T52" i="3"/>
  <c r="I53" i="3"/>
  <c r="P53" i="3" s="1"/>
  <c r="Z52" i="3" l="1"/>
  <c r="X52" i="3"/>
  <c r="V52" i="3"/>
  <c r="T53" i="3"/>
  <c r="I54" i="3"/>
  <c r="P54" i="3" s="1"/>
  <c r="Z53" i="3" l="1"/>
  <c r="X53" i="3"/>
  <c r="V53" i="3"/>
  <c r="T54" i="3"/>
  <c r="I55" i="3"/>
  <c r="P55" i="3" s="1"/>
  <c r="Z54" i="3" l="1"/>
  <c r="X54" i="3"/>
  <c r="V54" i="3"/>
  <c r="T55" i="3"/>
  <c r="I56" i="3"/>
  <c r="P56" i="3" s="1"/>
  <c r="Z55" i="3" l="1"/>
  <c r="X55" i="3"/>
  <c r="V55" i="3"/>
  <c r="T56" i="3"/>
  <c r="I57" i="3"/>
  <c r="P57" i="3" s="1"/>
  <c r="Z56" i="3" l="1"/>
  <c r="X56" i="3"/>
  <c r="V56" i="3"/>
  <c r="T57" i="3"/>
  <c r="I58" i="3"/>
  <c r="P58" i="3" s="1"/>
  <c r="Z57" i="3" l="1"/>
  <c r="X57" i="3"/>
  <c r="V57" i="3"/>
  <c r="T58" i="3"/>
  <c r="I59" i="3"/>
  <c r="P59" i="3" s="1"/>
  <c r="Z58" i="3" l="1"/>
  <c r="X58" i="3"/>
  <c r="V58" i="3"/>
  <c r="T59" i="3"/>
  <c r="I60" i="3"/>
  <c r="P60" i="3" s="1"/>
  <c r="Z59" i="3" l="1"/>
  <c r="X59" i="3"/>
  <c r="V59" i="3"/>
  <c r="T60" i="3"/>
  <c r="I61" i="3"/>
  <c r="P61" i="3" s="1"/>
  <c r="Z60" i="3" l="1"/>
  <c r="X60" i="3"/>
  <c r="V60" i="3"/>
  <c r="T61" i="3"/>
  <c r="I62" i="3"/>
  <c r="P62" i="3" s="1"/>
  <c r="Z61" i="3" l="1"/>
  <c r="X61" i="3"/>
  <c r="V61" i="3"/>
  <c r="T62" i="3"/>
  <c r="I63" i="3"/>
  <c r="P63" i="3" s="1"/>
  <c r="Z62" i="3" l="1"/>
  <c r="X62" i="3"/>
  <c r="V62" i="3"/>
  <c r="T63" i="3"/>
  <c r="I64" i="3"/>
  <c r="P64" i="3" s="1"/>
  <c r="Z63" i="3" l="1"/>
  <c r="X63" i="3"/>
  <c r="V63" i="3"/>
  <c r="T64" i="3"/>
  <c r="I65" i="3"/>
  <c r="P65" i="3" s="1"/>
  <c r="Z64" i="3" l="1"/>
  <c r="X64" i="3"/>
  <c r="V64" i="3"/>
  <c r="T65" i="3"/>
  <c r="I66" i="3"/>
  <c r="P66" i="3" s="1"/>
  <c r="Z65" i="3" l="1"/>
  <c r="X65" i="3"/>
  <c r="V65" i="3"/>
  <c r="T66" i="3"/>
  <c r="E6" i="5"/>
  <c r="G6" i="5" s="1"/>
  <c r="AK9" i="3" l="1"/>
  <c r="Z66" i="3"/>
  <c r="AJ9" i="3" s="1"/>
  <c r="X66" i="3"/>
  <c r="AI9" i="3" s="1"/>
  <c r="V66" i="3"/>
  <c r="AH9" i="3" s="1"/>
  <c r="C19" i="5" l="1"/>
  <c r="E20" i="5" s="1"/>
  <c r="C24" i="5"/>
  <c r="E25" i="5" s="1"/>
  <c r="AL9" i="3"/>
  <c r="C12" i="5"/>
  <c r="E13" i="5" s="1"/>
  <c r="C4" i="5"/>
  <c r="E5" i="5" s="1"/>
  <c r="D19" i="5" l="1"/>
  <c r="F20" i="5" s="1"/>
  <c r="G20" i="5" s="1"/>
  <c r="D24" i="5"/>
  <c r="F25" i="5" s="1"/>
  <c r="G25" i="5" s="1"/>
  <c r="D12" i="5"/>
  <c r="F13" i="5" s="1"/>
  <c r="G13" i="5" s="1"/>
  <c r="D4" i="5"/>
  <c r="F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<sst xmlns="http://schemas.openxmlformats.org/spreadsheetml/2006/main" count="495" uniqueCount="175">
  <si>
    <t>strategy</t>
  </si>
  <si>
    <t>Healthy</t>
  </si>
  <si>
    <t>A</t>
  </si>
  <si>
    <t>Sick</t>
  </si>
  <si>
    <t>B</t>
  </si>
  <si>
    <t>Markov Trace</t>
  </si>
  <si>
    <t>Strategy</t>
  </si>
  <si>
    <t>from</t>
  </si>
  <si>
    <t>Cycle</t>
  </si>
  <si>
    <t>Payoffs</t>
  </si>
  <si>
    <t>Cost</t>
  </si>
  <si>
    <t>Effect</t>
  </si>
  <si>
    <t>Incremental Cost</t>
  </si>
  <si>
    <t>Status</t>
  </si>
  <si>
    <t>C</t>
  </si>
  <si>
    <t>D</t>
  </si>
  <si>
    <t>E</t>
  </si>
  <si>
    <t>Sicker</t>
  </si>
  <si>
    <t>Initial ICERS: Sort strategies by cost (least costly first, most costly last)</t>
  </si>
  <si>
    <t>Remaining strategies when strictly dominated strategies are removed</t>
  </si>
  <si>
    <t>Final Table</t>
  </si>
  <si>
    <t>https://ebrary.net/192839/health/calculation_icers</t>
  </si>
  <si>
    <t>Time step for discrete time model (1=annual, 1/12=monthly, etc.)</t>
  </si>
  <si>
    <t>Time Horizon</t>
  </si>
  <si>
    <t>Age of cohort at beginning of model</t>
  </si>
  <si>
    <t>Annual discount rate</t>
  </si>
  <si>
    <t>Disability weight for Sick health state</t>
  </si>
  <si>
    <t>Disability weight for Sicker health state</t>
  </si>
  <si>
    <t>Utility - Death</t>
  </si>
  <si>
    <t>Utility - Sick health states</t>
  </si>
  <si>
    <t>Utility - Sicker Health State</t>
  </si>
  <si>
    <t>Delta_t</t>
  </si>
  <si>
    <t>horizon</t>
  </si>
  <si>
    <t>r_ann</t>
  </si>
  <si>
    <t>r_Delta_t</t>
  </si>
  <si>
    <t>age0</t>
  </si>
  <si>
    <t>pS1DeadBG</t>
  </si>
  <si>
    <t>pHDeadBG</t>
  </si>
  <si>
    <t>pS2DeadBG</t>
  </si>
  <si>
    <t>pHDeadDisease</t>
  </si>
  <si>
    <t>pS1DeadDisease</t>
  </si>
  <si>
    <t>pS2DeadDisease</t>
  </si>
  <si>
    <t>Transition Probability : Healthy -&gt; Sick</t>
  </si>
  <si>
    <t>Transition Probability : Healthy -&gt; Sicker</t>
  </si>
  <si>
    <t>Transition Probability : Sick -&gt; Sicker</t>
  </si>
  <si>
    <t>Transition Probability : Healthy -&gt; DeadBG</t>
  </si>
  <si>
    <t>Transition Probability : Sick -&gt; DeadBG</t>
  </si>
  <si>
    <t>Transition Probability : Sicker -&gt; DeadBG</t>
  </si>
  <si>
    <t>Transition Probability : Healthy -&gt; DeadDisease</t>
  </si>
  <si>
    <t>Transition Probability : Sick -&gt; DeadDisease</t>
  </si>
  <si>
    <t>Transition Probability : Sicker -&gt; DeadDisease</t>
  </si>
  <si>
    <t>DeadDisease</t>
  </si>
  <si>
    <t>DeadBG</t>
  </si>
  <si>
    <t>Cycle discount rate</t>
  </si>
  <si>
    <t>cycle</t>
  </si>
  <si>
    <t>r_ann*Delta_t</t>
  </si>
  <si>
    <t>horizon/Delta_t</t>
  </si>
  <si>
    <t>pHS1_</t>
  </si>
  <si>
    <t>pHS2_</t>
  </si>
  <si>
    <t>uS2_</t>
  </si>
  <si>
    <t>uS1_</t>
  </si>
  <si>
    <t>dwS1_</t>
  </si>
  <si>
    <t>dwS2_</t>
  </si>
  <si>
    <t>rrS1_TxB</t>
  </si>
  <si>
    <t>rrS1_TxA</t>
  </si>
  <si>
    <t>rrS1_TxC</t>
  </si>
  <si>
    <t>rrS1Dead_TxD</t>
  </si>
  <si>
    <t>rrS2Dead_TxD</t>
  </si>
  <si>
    <t>c_TxA</t>
  </si>
  <si>
    <t>c_TxB</t>
  </si>
  <si>
    <t>c_TxC</t>
  </si>
  <si>
    <t>c_TxD</t>
  </si>
  <si>
    <t>pS1S2_</t>
  </si>
  <si>
    <t>NH</t>
  </si>
  <si>
    <t>c_Sick</t>
  </si>
  <si>
    <t>c_Sicker</t>
  </si>
  <si>
    <t>c_Healthy</t>
  </si>
  <si>
    <t>c_DeadBG</t>
  </si>
  <si>
    <t>c_DeadDisease</t>
  </si>
  <si>
    <t>uHealthy</t>
  </si>
  <si>
    <t>uDeadBG</t>
  </si>
  <si>
    <t>uDeadDisease</t>
  </si>
  <si>
    <t>Utility - Death from Disease</t>
  </si>
  <si>
    <t>Utility - Healthy</t>
  </si>
  <si>
    <t>dwS1_unadj</t>
  </si>
  <si>
    <t>dwS2_unadj</t>
  </si>
  <si>
    <t>dwS1_unadj * Delta_t * (1/r_Delta_t) * (1 - exp(-r_Delta_t))</t>
  </si>
  <si>
    <t>dwS2_unadj* Delta_t * (1/r_Delta_t) * (1 - exp(-r_Delta_t))</t>
  </si>
  <si>
    <t>matrix_name</t>
  </si>
  <si>
    <t>mP_NH</t>
  </si>
  <si>
    <t>mP_TxA</t>
  </si>
  <si>
    <t>mP_TxB</t>
  </si>
  <si>
    <t>mP_TxC</t>
  </si>
  <si>
    <t>mP_TxD</t>
  </si>
  <si>
    <t>mP_TxE</t>
  </si>
  <si>
    <t>Cycle QALYs</t>
  </si>
  <si>
    <t>Cycle YLDs</t>
  </si>
  <si>
    <t>Cycle Costs</t>
  </si>
  <si>
    <t>Transition Probability Matrix</t>
  </si>
  <si>
    <t>To</t>
  </si>
  <si>
    <t>From</t>
  </si>
  <si>
    <t>DALY</t>
  </si>
  <si>
    <t>Cycle Corrections</t>
  </si>
  <si>
    <t>YLL Calculations</t>
  </si>
  <si>
    <t>Health State</t>
  </si>
  <si>
    <t>Costs</t>
  </si>
  <si>
    <t>Utilities</t>
  </si>
  <si>
    <t>Disease Weights (YLD)</t>
  </si>
  <si>
    <t>Outcome Calculations</t>
  </si>
  <si>
    <t>Totals</t>
  </si>
  <si>
    <r>
      <t>(1) Discounting
 exp(-r_Delta_t *Cycle)
=</t>
    </r>
    <r>
      <rPr>
        <b/>
        <sz val="12"/>
        <color theme="1" tint="0.499984740745262"/>
        <rFont val="Calibri (Body)"/>
      </rPr>
      <t xml:space="preserve"> EXP(-r_Delta_t * Cyle)</t>
    </r>
  </si>
  <si>
    <t>(2) Half Cycle Adjustment</t>
  </si>
  <si>
    <r>
      <t xml:space="preserve">(3) Total Cycle Adjustment
= </t>
    </r>
    <r>
      <rPr>
        <b/>
        <sz val="12"/>
        <color theme="1" tint="0.499984740745262"/>
        <rFont val="Calibri (Body)"/>
      </rPr>
      <t>(1) * (2)</t>
    </r>
  </si>
  <si>
    <r>
      <t xml:space="preserve">(4) Discounted Life Expectancy 
</t>
    </r>
    <r>
      <rPr>
        <b/>
        <sz val="12"/>
        <color theme="1" tint="0.499984740745262"/>
        <rFont val="Calibri (Body)"/>
      </rPr>
      <t>=(1/r_ann) * (1 - EXP(-r_ann * LE))</t>
    </r>
  </si>
  <si>
    <r>
      <t xml:space="preserve">(5) New Deaths From Disease in Cycle
</t>
    </r>
    <r>
      <rPr>
        <b/>
        <sz val="12"/>
        <color theme="1" tint="0.499984740745262"/>
        <rFont val="Calibri (Body)"/>
      </rPr>
      <t xml:space="preserve">
= DeadDisease[t]-DeadDisease[t-1]</t>
    </r>
  </si>
  <si>
    <r>
      <t xml:space="preserve">Undiscounted Life Expectancy 
</t>
    </r>
    <r>
      <rPr>
        <b/>
        <sz val="12"/>
        <color theme="1" tint="0.499984740745262"/>
        <rFont val="Calibri (Body)"/>
      </rPr>
      <t>(LE = from Reference Life Table)</t>
    </r>
  </si>
  <si>
    <t>Cost_NH</t>
  </si>
  <si>
    <t>QALY_TxA</t>
  </si>
  <si>
    <t>YLD_TxA</t>
  </si>
  <si>
    <t xml:space="preserve">YLL_TxA </t>
  </si>
  <si>
    <t>DALY_TxA</t>
  </si>
  <si>
    <t>QALY_NH</t>
  </si>
  <si>
    <t>YLD_NH</t>
  </si>
  <si>
    <t xml:space="preserve">YLL_NH </t>
  </si>
  <si>
    <t>DALY_NH</t>
  </si>
  <si>
    <t>Cost_TxB</t>
  </si>
  <si>
    <t>QALY_TxB</t>
  </si>
  <si>
    <t>YLD_TxB</t>
  </si>
  <si>
    <t xml:space="preserve">YLL_TxB </t>
  </si>
  <si>
    <t>DALY_TxB</t>
  </si>
  <si>
    <t>Cost_TxC</t>
  </si>
  <si>
    <t>QALY_TxC</t>
  </si>
  <si>
    <t>YLD_TxC</t>
  </si>
  <si>
    <t xml:space="preserve">YLL_TxC </t>
  </si>
  <si>
    <t>DALY_TxC</t>
  </si>
  <si>
    <t>Cost_TxD</t>
  </si>
  <si>
    <t>QALY_TxD</t>
  </si>
  <si>
    <t>YLD_TxD</t>
  </si>
  <si>
    <t>YLL_TxD</t>
  </si>
  <si>
    <t>DALY_TxD</t>
  </si>
  <si>
    <t>Cost_TxA</t>
  </si>
  <si>
    <t>Dominated (Strong)</t>
  </si>
  <si>
    <t>Final ICERs after additiuonal dominated (extended) strategies are removed</t>
  </si>
  <si>
    <t>Dominated (Extended)</t>
  </si>
  <si>
    <t>B (Prevention)</t>
  </si>
  <si>
    <t>D (Treatment)</t>
  </si>
  <si>
    <t>A (Prevention)</t>
  </si>
  <si>
    <t>C (Prevention)</t>
  </si>
  <si>
    <t>Cost per DALY Averted [ICER]</t>
  </si>
  <si>
    <t>Incremental Effect: DALYs Averted
(Note: Multiply by -1 for DALY outcomes)</t>
  </si>
  <si>
    <t>Relative risk reduction of Healthy -&gt; Sick transition on Prevention therapy A</t>
  </si>
  <si>
    <t>Relative risk reduction of Healthy -&gt; Sick transition on Prevention therapy B</t>
  </si>
  <si>
    <t>Relative risk reduction of Healthy -&gt; Sick transition on Prevention therapy C</t>
  </si>
  <si>
    <t>Relative risk reduction of Sick -&gt; DeadDisease transition on Treatment therapy D</t>
  </si>
  <si>
    <t>Relative risk reduction of Sicker -&gt; DeadDisease transition on Treatment therapy D</t>
  </si>
  <si>
    <t>Cost of cycle in Healthy state</t>
  </si>
  <si>
    <t>Cost of cycle in Sick state</t>
  </si>
  <si>
    <t>Cost of cycle in Sicker State</t>
  </si>
  <si>
    <t>Cost of death from background causes</t>
  </si>
  <si>
    <t>Cost of death from disease</t>
  </si>
  <si>
    <t>Cycle cost of prevention therpay A</t>
  </si>
  <si>
    <t>Cycle cost of prevention therpay B</t>
  </si>
  <si>
    <t>Cycle cost of prevention therpay C</t>
  </si>
  <si>
    <t>Cycle cost of treatment therapy D</t>
  </si>
  <si>
    <t>Cycle-discounted disability weight for Sick State</t>
  </si>
  <si>
    <t>Cycle-discounted disability weight for SickerState</t>
  </si>
  <si>
    <t xml:space="preserve">Total number of cycles over the full model time horizon. </t>
  </si>
  <si>
    <t>Calculated Parameters (these are functions of the parameters above)</t>
  </si>
  <si>
    <t>Fixed Parameters (these are parameters with specific numeric values)</t>
  </si>
  <si>
    <t>Parameter</t>
  </si>
  <si>
    <t>Base Case Value</t>
  </si>
  <si>
    <t>Formula (if applicable)</t>
  </si>
  <si>
    <t>Parameter Description</t>
  </si>
  <si>
    <r>
      <rPr>
        <b/>
        <sz val="12"/>
        <color rgb="FFFF0000"/>
        <rFont val="Calibri (Body)"/>
      </rPr>
      <t xml:space="preserve">!!!! </t>
    </r>
    <r>
      <rPr>
        <b/>
        <sz val="12"/>
        <color theme="1"/>
        <rFont val="Calibri"/>
        <family val="2"/>
        <scheme val="minor"/>
      </rPr>
      <t>Remember that the diagonal (red) cells in each transition matrix MUST be set to 1 - the other transtiion probabilities in the row</t>
    </r>
  </si>
  <si>
    <r>
      <t>Cycle YLLs 
=</t>
    </r>
    <r>
      <rPr>
        <b/>
        <sz val="12"/>
        <color theme="1" tint="0.499984740745262"/>
        <rFont val="Calibri (Body)"/>
      </rPr>
      <t xml:space="preserve"> (4) * (5)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2"/>
        <color theme="1" tint="0.499984740745262"/>
        <rFont val="Calibri (Body)"/>
      </rPr>
      <t>* 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</si>
</sst>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0.000"/>
    <numFmt numFmtId="166" formatCode="_(* #,##0_);_(* \(#,##0\);_(* &quot;-&quot;??_);_(@_)"/>
    <numFmt numFmtId="167" formatCode="0.0000"/>
    <numFmt numFmtId="168" formatCode="0.00000"/>
    <numFmt numFmtId="169" formatCode="0.0000000000"/>
    <numFmt numFmtId="170" formatCode="0.0000000"/>
    <numFmt numFmtId="171" formatCode="_(* #,##0.0000_);_(* \(#,##0.0000\);_(* &quot;-&quot;??_);_(@_)"/>
    <numFmt numFmtId="172" formatCode="0.000000"/>
    <numFmt numFmtId="173" formatCode="_(* #,##0.000_);_(* \(#,##0.000\);_(* &quot;-&quot;??_);_(@_)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2" tint="-9.9978637043366805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 tint="0.499984740745262"/>
      <name val="Calibri (Body)"/>
    </font>
    <font>
      <b/>
      <sz val="16"/>
      <color theme="1"/>
      <name val="Calibri"/>
      <family val="2"/>
      <scheme val="minor"/>
    </font>
    <font>
      <b/>
      <sz val="12"/>
      <color rgb="FFFF0000"/>
      <name val="Calibri (Body)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2EFDA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7">
    <xf numFmtId="0" fontId="0" fillId="0" borderId="0" xfId="0"/>
    <xf numFmtId="0" fontId="3" fillId="2" borderId="1" xfId="0" applyFont="1" applyFill="1" applyBorder="1" applyAlignment="1">
      <alignment horizontal="right"/>
    </xf>
    <xf numFmtId="0" fontId="0" fillId="2" borderId="0" xfId="0" applyFill="1"/>
    <xf numFmtId="0" fontId="0" fillId="4" borderId="3" xfId="0" applyFill="1" applyBorder="1" applyAlignment="1">
      <alignment horizontal="right"/>
    </xf>
    <xf numFmtId="0" fontId="0" fillId="5" borderId="3" xfId="0" applyFill="1" applyBorder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2" applyNumberFormat="1" applyFont="1" applyFill="1"/>
    <xf numFmtId="165" fontId="0" fillId="2" borderId="0" xfId="0" applyNumberFormat="1" applyFill="1" applyAlignment="1">
      <alignment horizontal="right"/>
    </xf>
    <xf numFmtId="165" fontId="2" fillId="2" borderId="0" xfId="0" applyNumberFormat="1" applyFont="1" applyFill="1" applyAlignment="1">
      <alignment horizontal="right"/>
    </xf>
    <xf numFmtId="0" fontId="3" fillId="2" borderId="4" xfId="0" applyFont="1" applyFill="1" applyBorder="1"/>
    <xf numFmtId="166" fontId="4" fillId="6" borderId="0" xfId="1" applyNumberFormat="1" applyFont="1" applyFill="1"/>
    <xf numFmtId="165" fontId="4" fillId="6" borderId="0" xfId="0" applyNumberFormat="1" applyFont="1" applyFill="1"/>
    <xf numFmtId="165" fontId="0" fillId="2" borderId="0" xfId="0" applyNumberFormat="1" applyFill="1"/>
    <xf numFmtId="166" fontId="0" fillId="2" borderId="0" xfId="1" applyNumberFormat="1" applyFont="1" applyFill="1"/>
    <xf numFmtId="167" fontId="0" fillId="2" borderId="0" xfId="0" applyNumberFormat="1" applyFill="1"/>
    <xf numFmtId="0" fontId="5" fillId="2" borderId="0" xfId="0" applyFont="1" applyFill="1"/>
    <xf numFmtId="0" fontId="4" fillId="6" borderId="0" xfId="0" applyFont="1" applyFill="1"/>
    <xf numFmtId="0" fontId="3" fillId="2" borderId="1" xfId="0" applyFont="1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4" fillId="7" borderId="3" xfId="0" applyFont="1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5" xfId="0" applyFill="1" applyBorder="1"/>
    <xf numFmtId="0" fontId="0" fillId="2" borderId="6" xfId="0" applyFill="1" applyBorder="1"/>
    <xf numFmtId="168" fontId="0" fillId="4" borderId="6" xfId="0" applyNumberFormat="1" applyFill="1" applyBorder="1"/>
    <xf numFmtId="168" fontId="0" fillId="3" borderId="6" xfId="0" applyNumberFormat="1" applyFill="1" applyBorder="1"/>
    <xf numFmtId="0" fontId="0" fillId="3" borderId="6" xfId="0" applyFill="1" applyBorder="1"/>
    <xf numFmtId="0" fontId="0" fillId="3" borderId="7" xfId="0" applyFill="1" applyBorder="1"/>
    <xf numFmtId="0" fontId="0" fillId="2" borderId="8" xfId="0" applyFill="1" applyBorder="1"/>
    <xf numFmtId="0" fontId="0" fillId="3" borderId="0" xfId="0" applyFill="1"/>
    <xf numFmtId="0" fontId="0" fillId="4" borderId="0" xfId="0" applyFill="1"/>
    <xf numFmtId="0" fontId="0" fillId="3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11" xfId="0" applyFill="1" applyBorder="1"/>
    <xf numFmtId="0" fontId="0" fillId="4" borderId="12" xfId="0" applyFill="1" applyBorder="1"/>
    <xf numFmtId="0" fontId="4" fillId="6" borderId="5" xfId="0" applyFont="1" applyFill="1" applyBorder="1"/>
    <xf numFmtId="0" fontId="4" fillId="6" borderId="6" xfId="0" applyFont="1" applyFill="1" applyBorder="1"/>
    <xf numFmtId="0" fontId="4" fillId="6" borderId="8" xfId="0" applyFont="1" applyFill="1" applyBorder="1"/>
    <xf numFmtId="0" fontId="4" fillId="6" borderId="10" xfId="0" applyFont="1" applyFill="1" applyBorder="1"/>
    <xf numFmtId="0" fontId="4" fillId="6" borderId="11" xfId="0" applyFont="1" applyFill="1" applyBorder="1"/>
    <xf numFmtId="169" fontId="0" fillId="3" borderId="9" xfId="0" applyNumberFormat="1" applyFill="1" applyBorder="1"/>
    <xf numFmtId="169" fontId="0" fillId="4" borderId="0" xfId="0" applyNumberFormat="1" applyFill="1"/>
    <xf numFmtId="170" fontId="0" fillId="3" borderId="6" xfId="0" applyNumberFormat="1" applyFill="1" applyBorder="1"/>
    <xf numFmtId="0" fontId="0" fillId="4" borderId="3" xfId="0" applyFill="1" applyBorder="1" applyAlignment="1">
      <alignment horizontal="right" wrapText="1"/>
    </xf>
    <xf numFmtId="0" fontId="0" fillId="4" borderId="3" xfId="0" applyFill="1" applyBorder="1" applyAlignment="1">
      <alignment horizontal="left" wrapText="1"/>
    </xf>
    <xf numFmtId="0" fontId="0" fillId="2" borderId="0" xfId="0" applyFill="1" applyAlignment="1">
      <alignment wrapText="1"/>
    </xf>
    <xf numFmtId="171" fontId="0" fillId="2" borderId="0" xfId="1" applyNumberFormat="1" applyFont="1" applyFill="1"/>
    <xf numFmtId="0" fontId="6" fillId="2" borderId="0" xfId="0" applyFont="1" applyFill="1"/>
    <xf numFmtId="0" fontId="7" fillId="2" borderId="0" xfId="0" applyFont="1" applyFill="1"/>
    <xf numFmtId="164" fontId="0" fillId="2" borderId="13" xfId="2" applyNumberFormat="1" applyFont="1" applyFill="1" applyBorder="1"/>
    <xf numFmtId="0" fontId="0" fillId="2" borderId="17" xfId="0" applyFill="1" applyBorder="1" applyAlignment="1">
      <alignment horizontal="center"/>
    </xf>
    <xf numFmtId="0" fontId="0" fillId="2" borderId="18" xfId="0" applyFill="1" applyBorder="1"/>
    <xf numFmtId="0" fontId="0" fillId="2" borderId="19" xfId="0" applyFill="1" applyBorder="1" applyAlignment="1">
      <alignment horizontal="center"/>
    </xf>
    <xf numFmtId="0" fontId="0" fillId="2" borderId="4" xfId="0" applyFill="1" applyBorder="1"/>
    <xf numFmtId="0" fontId="3" fillId="2" borderId="3" xfId="0" applyFont="1" applyFill="1" applyBorder="1" applyAlignment="1">
      <alignment horizontal="right"/>
    </xf>
    <xf numFmtId="43" fontId="0" fillId="2" borderId="3" xfId="1" applyFont="1" applyFill="1" applyBorder="1" applyAlignment="1">
      <alignment horizontal="right"/>
    </xf>
    <xf numFmtId="2" fontId="0" fillId="2" borderId="3" xfId="0" applyNumberFormat="1" applyFill="1" applyBorder="1" applyAlignment="1">
      <alignment horizontal="right"/>
    </xf>
    <xf numFmtId="0" fontId="0" fillId="2" borderId="18" xfId="0" applyFill="1" applyBorder="1" applyAlignment="1">
      <alignment horizontal="center"/>
    </xf>
    <xf numFmtId="165" fontId="0" fillId="2" borderId="17" xfId="0" applyNumberFormat="1" applyFill="1" applyBorder="1" applyAlignment="1">
      <alignment horizontal="right"/>
    </xf>
    <xf numFmtId="165" fontId="0" fillId="2" borderId="18" xfId="0" applyNumberFormat="1" applyFill="1" applyBorder="1" applyAlignment="1">
      <alignment horizontal="right"/>
    </xf>
    <xf numFmtId="165" fontId="0" fillId="2" borderId="19" xfId="0" applyNumberFormat="1" applyFill="1" applyBorder="1" applyAlignment="1">
      <alignment horizontal="right"/>
    </xf>
    <xf numFmtId="165" fontId="0" fillId="2" borderId="4" xfId="0" applyNumberFormat="1" applyFill="1" applyBorder="1" applyAlignment="1">
      <alignment horizontal="right"/>
    </xf>
    <xf numFmtId="165" fontId="2" fillId="2" borderId="4" xfId="0" applyNumberFormat="1" applyFont="1" applyFill="1" applyBorder="1" applyAlignment="1">
      <alignment horizontal="right"/>
    </xf>
    <xf numFmtId="165" fontId="0" fillId="2" borderId="20" xfId="0" applyNumberFormat="1" applyFill="1" applyBorder="1" applyAlignment="1">
      <alignment horizontal="right"/>
    </xf>
    <xf numFmtId="0" fontId="3" fillId="2" borderId="2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/>
    <xf numFmtId="0" fontId="3" fillId="2" borderId="0" xfId="0" applyFont="1" applyFill="1" applyAlignment="1">
      <alignment horizontal="center"/>
    </xf>
    <xf numFmtId="2" fontId="0" fillId="2" borderId="17" xfId="0" applyNumberFormat="1" applyFill="1" applyBorder="1"/>
    <xf numFmtId="2" fontId="0" fillId="2" borderId="19" xfId="0" applyNumberFormat="1" applyFill="1" applyBorder="1"/>
    <xf numFmtId="43" fontId="0" fillId="2" borderId="13" xfId="1" applyFont="1" applyFill="1" applyBorder="1"/>
    <xf numFmtId="43" fontId="0" fillId="2" borderId="0" xfId="2" applyNumberFormat="1" applyFont="1" applyFill="1"/>
    <xf numFmtId="0" fontId="8" fillId="2" borderId="17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3" fillId="9" borderId="1" xfId="0" applyFont="1" applyFill="1" applyBorder="1"/>
    <xf numFmtId="0" fontId="0" fillId="9" borderId="2" xfId="0" applyFill="1" applyBorder="1"/>
    <xf numFmtId="0" fontId="0" fillId="9" borderId="3" xfId="0" applyFill="1" applyBorder="1"/>
    <xf numFmtId="0" fontId="0" fillId="8" borderId="3" xfId="0" applyFill="1" applyBorder="1"/>
    <xf numFmtId="167" fontId="0" fillId="2" borderId="18" xfId="0" applyNumberFormat="1" applyFill="1" applyBorder="1"/>
    <xf numFmtId="167" fontId="0" fillId="2" borderId="4" xfId="0" applyNumberFormat="1" applyFill="1" applyBorder="1"/>
    <xf numFmtId="167" fontId="0" fillId="2" borderId="20" xfId="0" applyNumberFormat="1" applyFill="1" applyBorder="1"/>
    <xf numFmtId="171" fontId="3" fillId="2" borderId="0" xfId="1" applyNumberFormat="1" applyFont="1" applyFill="1" applyBorder="1" applyAlignment="1">
      <alignment horizontal="center" vertical="center" wrapText="1"/>
    </xf>
    <xf numFmtId="43" fontId="0" fillId="2" borderId="0" xfId="1" applyFont="1" applyFill="1" applyBorder="1"/>
    <xf numFmtId="0" fontId="0" fillId="2" borderId="0" xfId="0" applyFill="1" applyAlignment="1">
      <alignment vertical="center"/>
    </xf>
    <xf numFmtId="0" fontId="3" fillId="2" borderId="4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43" fontId="0" fillId="2" borderId="18" xfId="1" applyFont="1" applyFill="1" applyBorder="1"/>
    <xf numFmtId="0" fontId="3" fillId="2" borderId="3" xfId="0" applyFont="1" applyFill="1" applyBorder="1"/>
    <xf numFmtId="166" fontId="0" fillId="2" borderId="0" xfId="1" applyNumberFormat="1" applyFont="1" applyFill="1" applyBorder="1"/>
    <xf numFmtId="173" fontId="0" fillId="2" borderId="0" xfId="1" applyNumberFormat="1" applyFont="1" applyFill="1" applyBorder="1"/>
    <xf numFmtId="0" fontId="0" fillId="10" borderId="2" xfId="0" applyFill="1" applyBorder="1"/>
    <xf numFmtId="0" fontId="0" fillId="10" borderId="3" xfId="0" applyFill="1" applyBorder="1"/>
    <xf numFmtId="0" fontId="3" fillId="2" borderId="4" xfId="0" applyFont="1" applyFill="1" applyBorder="1" applyAlignment="1">
      <alignment wrapText="1"/>
    </xf>
    <xf numFmtId="166" fontId="0" fillId="2" borderId="0" xfId="1" applyNumberFormat="1" applyFont="1" applyFill="1" applyAlignment="1">
      <alignment horizontal="right"/>
    </xf>
    <xf numFmtId="173" fontId="0" fillId="2" borderId="0" xfId="1" applyNumberFormat="1" applyFont="1" applyFill="1"/>
    <xf numFmtId="173" fontId="4" fillId="6" borderId="0" xfId="1" applyNumberFormat="1" applyFont="1" applyFill="1"/>
    <xf numFmtId="172" fontId="0" fillId="5" borderId="3" xfId="0" applyNumberFormat="1" applyFill="1" applyBorder="1" applyAlignment="1">
      <alignment horizontal="right"/>
    </xf>
    <xf numFmtId="0" fontId="4" fillId="11" borderId="3" xfId="0" applyFont="1" applyFill="1" applyBorder="1" applyAlignment="1">
      <alignment horizontal="left"/>
    </xf>
    <xf numFmtId="0" fontId="10" fillId="4" borderId="14" xfId="0" applyFont="1" applyFill="1" applyBorder="1" applyAlignment="1">
      <alignment horizontal="left" wrapText="1"/>
    </xf>
    <xf numFmtId="0" fontId="10" fillId="4" borderId="15" xfId="0" applyFont="1" applyFill="1" applyBorder="1" applyAlignment="1">
      <alignment horizontal="left" wrapText="1"/>
    </xf>
    <xf numFmtId="0" fontId="10" fillId="4" borderId="16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/>
    </xf>
    <xf numFmtId="0" fontId="10" fillId="5" borderId="26" xfId="0" applyFont="1" applyFill="1" applyBorder="1" applyAlignment="1">
      <alignment horizontal="left"/>
    </xf>
    <xf numFmtId="0" fontId="10" fillId="5" borderId="27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3" fillId="2" borderId="16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1" fontId="3" fillId="2" borderId="24" xfId="1" applyNumberFormat="1" applyFont="1" applyFill="1" applyBorder="1" applyAlignment="1">
      <alignment horizontal="center" vertical="center" wrapText="1"/>
    </xf>
    <xf numFmtId="171" fontId="3" fillId="2" borderId="2" xfId="1" applyNumberFormat="1" applyFont="1" applyFill="1" applyBorder="1" applyAlignment="1">
      <alignment horizontal="center" vertical="center" wrapText="1"/>
    </xf>
    <xf numFmtId="0" fontId="0" fillId="2" borderId="20" xfId="0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</xdr:colOff>
      <xdr:row>4</xdr:row>
      <xdr:rowOff>1774636</xdr:rowOff>
    </xdr:from>
    <xdr:to>
      <xdr:col>29</xdr:col>
      <xdr:colOff>134570</xdr:colOff>
      <xdr:row>7</xdr:row>
      <xdr:rowOff>109334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95C36488-2037-0E6F-11A5-3136680F3580}"/>
            </a:ext>
          </a:extLst>
        </xdr:cNvPr>
        <xdr:cNvCxnSpPr/>
      </xdr:nvCxnSpPr>
      <xdr:spPr>
        <a:xfrm rot="10800000" flipV="1">
          <a:off x="13398084" y="2607285"/>
          <a:ext cx="10168407" cy="1093374"/>
        </a:xfrm>
        <a:prstGeom prst="bentConnector3">
          <a:avLst>
            <a:gd name="adj1" fmla="val 95575"/>
          </a:avLst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</xdr:colOff>
      <xdr:row>4</xdr:row>
      <xdr:rowOff>1984901</xdr:rowOff>
    </xdr:from>
    <xdr:to>
      <xdr:col>29</xdr:col>
      <xdr:colOff>134570</xdr:colOff>
      <xdr:row>6</xdr:row>
      <xdr:rowOff>109334</xdr:rowOff>
    </xdr:to>
    <xdr:cxnSp macro="">
      <xdr:nvCxnSpPr>
        <xdr:cNvPr id="9" name="Elbow Connector 8">
          <a:extLst>
            <a:ext uri="{FF2B5EF4-FFF2-40B4-BE49-F238E27FC236}">
              <a16:creationId xmlns:a16="http://schemas.microsoft.com/office/drawing/2014/main" id="{3C7010B2-F05E-F441-A531-66AA5FBF3EE5}"/>
            </a:ext>
          </a:extLst>
        </xdr:cNvPr>
        <xdr:cNvCxnSpPr/>
      </xdr:nvCxnSpPr>
      <xdr:spPr>
        <a:xfrm rot="10800000" flipV="1">
          <a:off x="13398082" y="2817550"/>
          <a:ext cx="10168409" cy="681254"/>
        </a:xfrm>
        <a:prstGeom prst="bentConnector3">
          <a:avLst>
            <a:gd name="adj1" fmla="val 96650"/>
          </a:avLst>
        </a:prstGeom>
        <a:ln w="28575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</xdr:colOff>
      <xdr:row>4</xdr:row>
      <xdr:rowOff>1774636</xdr:rowOff>
    </xdr:from>
    <xdr:to>
      <xdr:col>29</xdr:col>
      <xdr:colOff>134570</xdr:colOff>
      <xdr:row>7</xdr:row>
      <xdr:rowOff>109334</xdr:rowOff>
    </xdr:to>
    <xdr:cxnSp macro="">
      <xdr:nvCxnSpPr>
        <xdr:cNvPr id="2" name="Elbow Connector 1">
          <a:extLst>
            <a:ext uri="{FF2B5EF4-FFF2-40B4-BE49-F238E27FC236}">
              <a16:creationId xmlns:a16="http://schemas.microsoft.com/office/drawing/2014/main" id="{3A063745-7A21-DC40-9505-6D2B0910DAE1}"/>
            </a:ext>
          </a:extLst>
        </xdr:cNvPr>
        <xdr:cNvCxnSpPr/>
      </xdr:nvCxnSpPr>
      <xdr:spPr>
        <a:xfrm rot="10800000" flipV="1">
          <a:off x="13411205" y="2612836"/>
          <a:ext cx="10167565" cy="1090598"/>
        </a:xfrm>
        <a:prstGeom prst="bentConnector3">
          <a:avLst>
            <a:gd name="adj1" fmla="val 95575"/>
          </a:avLst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</xdr:colOff>
      <xdr:row>4</xdr:row>
      <xdr:rowOff>1984901</xdr:rowOff>
    </xdr:from>
    <xdr:to>
      <xdr:col>29</xdr:col>
      <xdr:colOff>134570</xdr:colOff>
      <xdr:row>6</xdr:row>
      <xdr:rowOff>109334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47279717-703E-9E40-93E0-33C8D8563A17}"/>
            </a:ext>
          </a:extLst>
        </xdr:cNvPr>
        <xdr:cNvCxnSpPr/>
      </xdr:nvCxnSpPr>
      <xdr:spPr>
        <a:xfrm rot="10800000" flipV="1">
          <a:off x="13411203" y="2823101"/>
          <a:ext cx="10167567" cy="677133"/>
        </a:xfrm>
        <a:prstGeom prst="bentConnector3">
          <a:avLst>
            <a:gd name="adj1" fmla="val 96650"/>
          </a:avLst>
        </a:prstGeom>
        <a:ln w="28575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</xdr:colOff>
      <xdr:row>4</xdr:row>
      <xdr:rowOff>1774636</xdr:rowOff>
    </xdr:from>
    <xdr:to>
      <xdr:col>29</xdr:col>
      <xdr:colOff>134570</xdr:colOff>
      <xdr:row>7</xdr:row>
      <xdr:rowOff>109334</xdr:rowOff>
    </xdr:to>
    <xdr:cxnSp macro="">
      <xdr:nvCxnSpPr>
        <xdr:cNvPr id="2" name="Elbow Connector 1">
          <a:extLst>
            <a:ext uri="{FF2B5EF4-FFF2-40B4-BE49-F238E27FC236}">
              <a16:creationId xmlns:a16="http://schemas.microsoft.com/office/drawing/2014/main" id="{9529F247-CDF5-E344-ADA8-5FC38397F9ED}"/>
            </a:ext>
          </a:extLst>
        </xdr:cNvPr>
        <xdr:cNvCxnSpPr/>
      </xdr:nvCxnSpPr>
      <xdr:spPr>
        <a:xfrm rot="10800000" flipV="1">
          <a:off x="13411205" y="2612836"/>
          <a:ext cx="10167565" cy="1090598"/>
        </a:xfrm>
        <a:prstGeom prst="bentConnector3">
          <a:avLst>
            <a:gd name="adj1" fmla="val 95575"/>
          </a:avLst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</xdr:colOff>
      <xdr:row>4</xdr:row>
      <xdr:rowOff>1984901</xdr:rowOff>
    </xdr:from>
    <xdr:to>
      <xdr:col>29</xdr:col>
      <xdr:colOff>134570</xdr:colOff>
      <xdr:row>6</xdr:row>
      <xdr:rowOff>109334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7EC1990D-72DA-3447-AD4E-51B8A0180C2A}"/>
            </a:ext>
          </a:extLst>
        </xdr:cNvPr>
        <xdr:cNvCxnSpPr/>
      </xdr:nvCxnSpPr>
      <xdr:spPr>
        <a:xfrm rot="10800000" flipV="1">
          <a:off x="13411203" y="2823101"/>
          <a:ext cx="10167567" cy="677133"/>
        </a:xfrm>
        <a:prstGeom prst="bentConnector3">
          <a:avLst>
            <a:gd name="adj1" fmla="val 96650"/>
          </a:avLst>
        </a:prstGeom>
        <a:ln w="28575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</xdr:colOff>
      <xdr:row>4</xdr:row>
      <xdr:rowOff>1774636</xdr:rowOff>
    </xdr:from>
    <xdr:to>
      <xdr:col>29</xdr:col>
      <xdr:colOff>134570</xdr:colOff>
      <xdr:row>7</xdr:row>
      <xdr:rowOff>109334</xdr:rowOff>
    </xdr:to>
    <xdr:cxnSp macro="">
      <xdr:nvCxnSpPr>
        <xdr:cNvPr id="2" name="Elbow Connector 1">
          <a:extLst>
            <a:ext uri="{FF2B5EF4-FFF2-40B4-BE49-F238E27FC236}">
              <a16:creationId xmlns:a16="http://schemas.microsoft.com/office/drawing/2014/main" id="{D3C5EA6C-87D0-D944-AF27-27637C47E936}"/>
            </a:ext>
          </a:extLst>
        </xdr:cNvPr>
        <xdr:cNvCxnSpPr/>
      </xdr:nvCxnSpPr>
      <xdr:spPr>
        <a:xfrm rot="10800000" flipV="1">
          <a:off x="13411205" y="2612836"/>
          <a:ext cx="10167565" cy="1090598"/>
        </a:xfrm>
        <a:prstGeom prst="bentConnector3">
          <a:avLst>
            <a:gd name="adj1" fmla="val 95575"/>
          </a:avLst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</xdr:colOff>
      <xdr:row>4</xdr:row>
      <xdr:rowOff>1984901</xdr:rowOff>
    </xdr:from>
    <xdr:to>
      <xdr:col>29</xdr:col>
      <xdr:colOff>134570</xdr:colOff>
      <xdr:row>6</xdr:row>
      <xdr:rowOff>109334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0B94E762-5932-0843-9E56-D5E099B419BB}"/>
            </a:ext>
          </a:extLst>
        </xdr:cNvPr>
        <xdr:cNvCxnSpPr/>
      </xdr:nvCxnSpPr>
      <xdr:spPr>
        <a:xfrm rot="10800000" flipV="1">
          <a:off x="13411203" y="2823101"/>
          <a:ext cx="10167567" cy="677133"/>
        </a:xfrm>
        <a:prstGeom prst="bentConnector3">
          <a:avLst>
            <a:gd name="adj1" fmla="val 96650"/>
          </a:avLst>
        </a:prstGeom>
        <a:ln w="28575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</xdr:colOff>
      <xdr:row>4</xdr:row>
      <xdr:rowOff>1774636</xdr:rowOff>
    </xdr:from>
    <xdr:to>
      <xdr:col>29</xdr:col>
      <xdr:colOff>134570</xdr:colOff>
      <xdr:row>7</xdr:row>
      <xdr:rowOff>109334</xdr:rowOff>
    </xdr:to>
    <xdr:cxnSp macro="">
      <xdr:nvCxnSpPr>
        <xdr:cNvPr id="2" name="Elbow Connector 1">
          <a:extLst>
            <a:ext uri="{FF2B5EF4-FFF2-40B4-BE49-F238E27FC236}">
              <a16:creationId xmlns:a16="http://schemas.microsoft.com/office/drawing/2014/main" id="{FB45B273-405D-DF4C-B8C9-46F52468ABF7}"/>
            </a:ext>
          </a:extLst>
        </xdr:cNvPr>
        <xdr:cNvCxnSpPr/>
      </xdr:nvCxnSpPr>
      <xdr:spPr>
        <a:xfrm rot="10800000" flipV="1">
          <a:off x="13411205" y="2612836"/>
          <a:ext cx="10167565" cy="1090598"/>
        </a:xfrm>
        <a:prstGeom prst="bentConnector3">
          <a:avLst>
            <a:gd name="adj1" fmla="val 95575"/>
          </a:avLst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</xdr:colOff>
      <xdr:row>4</xdr:row>
      <xdr:rowOff>1984901</xdr:rowOff>
    </xdr:from>
    <xdr:to>
      <xdr:col>29</xdr:col>
      <xdr:colOff>134570</xdr:colOff>
      <xdr:row>6</xdr:row>
      <xdr:rowOff>109334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482CF462-727C-4842-AA1B-13FBE0F3B1A5}"/>
            </a:ext>
          </a:extLst>
        </xdr:cNvPr>
        <xdr:cNvCxnSpPr/>
      </xdr:nvCxnSpPr>
      <xdr:spPr>
        <a:xfrm rot="10800000" flipV="1">
          <a:off x="13411203" y="2823101"/>
          <a:ext cx="10167567" cy="677133"/>
        </a:xfrm>
        <a:prstGeom prst="bentConnector3">
          <a:avLst>
            <a:gd name="adj1" fmla="val 96650"/>
          </a:avLst>
        </a:prstGeom>
        <a:ln w="28575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CA9D-55FE-1643-AFEB-17CD5D00CDFE}">
  <sheetPr codeName="Sheet1"/>
  <dimension ref="A1:D41"/>
  <sheetViews>
    <sheetView topLeftCell="A24" zoomScale="158" zoomScaleNormal="158" workbookViewId="0">
      <selection activeCell="B41" sqref="B41"/>
    </sheetView>
  </sheetViews>
  <sheetFormatPr baseColWidth="10" defaultRowHeight="16" x14ac:dyDescent="0.2"/>
  <cols>
    <col min="1" max="1" width="25.83203125" style="2" customWidth="1"/>
    <col min="2" max="2" width="50.83203125" style="2" customWidth="1"/>
    <col min="3" max="3" width="21.33203125" style="26" customWidth="1"/>
    <col min="4" max="4" width="68.1640625" style="26" customWidth="1"/>
    <col min="5" max="16384" width="10.83203125" style="2"/>
  </cols>
  <sheetData>
    <row r="1" spans="1:4" ht="17" thickBot="1" x14ac:dyDescent="0.25">
      <c r="A1" s="1" t="s">
        <v>169</v>
      </c>
      <c r="B1" s="1" t="s">
        <v>170</v>
      </c>
      <c r="C1" s="22" t="s">
        <v>171</v>
      </c>
      <c r="D1" s="22" t="s">
        <v>172</v>
      </c>
    </row>
    <row r="2" spans="1:4" ht="21" x14ac:dyDescent="0.25">
      <c r="A2" s="108" t="s">
        <v>168</v>
      </c>
      <c r="B2" s="109"/>
      <c r="C2" s="109"/>
      <c r="D2" s="110"/>
    </row>
    <row r="3" spans="1:4" x14ac:dyDescent="0.2">
      <c r="A3" s="4" t="s">
        <v>31</v>
      </c>
      <c r="B3" s="4">
        <v>1</v>
      </c>
      <c r="C3" s="23"/>
      <c r="D3" s="23" t="s">
        <v>22</v>
      </c>
    </row>
    <row r="4" spans="1:4" x14ac:dyDescent="0.2">
      <c r="A4" s="4" t="s">
        <v>32</v>
      </c>
      <c r="B4" s="4">
        <v>60</v>
      </c>
      <c r="C4" s="23"/>
      <c r="D4" s="23" t="s">
        <v>23</v>
      </c>
    </row>
    <row r="5" spans="1:4" x14ac:dyDescent="0.2">
      <c r="A5" s="4" t="s">
        <v>35</v>
      </c>
      <c r="B5" s="4">
        <v>20</v>
      </c>
      <c r="C5" s="23"/>
      <c r="D5" s="23" t="s">
        <v>24</v>
      </c>
    </row>
    <row r="6" spans="1:4" x14ac:dyDescent="0.2">
      <c r="A6" s="4" t="s">
        <v>33</v>
      </c>
      <c r="B6" s="4">
        <v>0.03</v>
      </c>
      <c r="C6" s="23"/>
      <c r="D6" s="23" t="s">
        <v>25</v>
      </c>
    </row>
    <row r="7" spans="1:4" x14ac:dyDescent="0.2">
      <c r="A7" s="4" t="s">
        <v>84</v>
      </c>
      <c r="B7" s="4">
        <v>0.1</v>
      </c>
      <c r="C7" s="23"/>
      <c r="D7" s="23" t="s">
        <v>26</v>
      </c>
    </row>
    <row r="8" spans="1:4" x14ac:dyDescent="0.2">
      <c r="A8" s="4" t="s">
        <v>85</v>
      </c>
      <c r="B8" s="4">
        <v>0.2</v>
      </c>
      <c r="C8" s="23"/>
      <c r="D8" s="23" t="s">
        <v>27</v>
      </c>
    </row>
    <row r="9" spans="1:4" x14ac:dyDescent="0.2">
      <c r="A9" s="4" t="s">
        <v>79</v>
      </c>
      <c r="B9" s="4">
        <v>1</v>
      </c>
      <c r="C9" s="23"/>
      <c r="D9" s="23" t="s">
        <v>83</v>
      </c>
    </row>
    <row r="10" spans="1:4" x14ac:dyDescent="0.2">
      <c r="A10" s="4" t="s">
        <v>60</v>
      </c>
      <c r="B10" s="4">
        <v>0.95</v>
      </c>
      <c r="C10" s="23"/>
      <c r="D10" s="23" t="s">
        <v>29</v>
      </c>
    </row>
    <row r="11" spans="1:4" x14ac:dyDescent="0.2">
      <c r="A11" s="4" t="s">
        <v>59</v>
      </c>
      <c r="B11" s="4">
        <v>0.8</v>
      </c>
      <c r="C11" s="23"/>
      <c r="D11" s="23" t="s">
        <v>30</v>
      </c>
    </row>
    <row r="12" spans="1:4" x14ac:dyDescent="0.2">
      <c r="A12" s="4" t="s">
        <v>80</v>
      </c>
      <c r="B12" s="4">
        <v>0</v>
      </c>
      <c r="C12" s="23"/>
      <c r="D12" s="24" t="s">
        <v>28</v>
      </c>
    </row>
    <row r="13" spans="1:4" x14ac:dyDescent="0.2">
      <c r="A13" s="4" t="s">
        <v>81</v>
      </c>
      <c r="B13" s="4">
        <v>0</v>
      </c>
      <c r="C13" s="23"/>
      <c r="D13" s="24" t="s">
        <v>82</v>
      </c>
    </row>
    <row r="14" spans="1:4" x14ac:dyDescent="0.2">
      <c r="A14" s="4" t="s">
        <v>57</v>
      </c>
      <c r="B14" s="103">
        <v>4.5031420643994999E-2</v>
      </c>
      <c r="C14" s="23"/>
      <c r="D14" s="23" t="s">
        <v>42</v>
      </c>
    </row>
    <row r="15" spans="1:4" x14ac:dyDescent="0.2">
      <c r="A15" s="4" t="s">
        <v>58</v>
      </c>
      <c r="B15" s="103">
        <v>2.7609199376632402E-3</v>
      </c>
      <c r="C15" s="23"/>
      <c r="D15" s="23" t="s">
        <v>43</v>
      </c>
    </row>
    <row r="16" spans="1:4" x14ac:dyDescent="0.2">
      <c r="A16" s="4" t="s">
        <v>72</v>
      </c>
      <c r="B16" s="103">
        <v>0.109179777520653</v>
      </c>
      <c r="C16" s="23"/>
      <c r="D16" s="23" t="s">
        <v>44</v>
      </c>
    </row>
    <row r="17" spans="1:4" x14ac:dyDescent="0.2">
      <c r="A17" s="4" t="s">
        <v>37</v>
      </c>
      <c r="B17" s="103">
        <v>9.9485170055332601E-3</v>
      </c>
      <c r="C17" s="23"/>
      <c r="D17" s="23" t="s">
        <v>45</v>
      </c>
    </row>
    <row r="18" spans="1:4" x14ac:dyDescent="0.2">
      <c r="A18" s="4" t="s">
        <v>36</v>
      </c>
      <c r="B18" s="103">
        <v>9.8495952398212992E-3</v>
      </c>
      <c r="C18" s="23"/>
      <c r="D18" s="23" t="s">
        <v>46</v>
      </c>
    </row>
    <row r="19" spans="1:4" x14ac:dyDescent="0.2">
      <c r="A19" s="4" t="s">
        <v>38</v>
      </c>
      <c r="B19" s="103">
        <v>9.8026402119192006E-3</v>
      </c>
      <c r="C19" s="23"/>
      <c r="D19" s="23" t="s">
        <v>47</v>
      </c>
    </row>
    <row r="20" spans="1:4" x14ac:dyDescent="0.2">
      <c r="A20" s="4" t="s">
        <v>39</v>
      </c>
      <c r="B20" s="103">
        <v>4.9460882855984205E-4</v>
      </c>
      <c r="C20" s="23"/>
      <c r="D20" s="23" t="s">
        <v>48</v>
      </c>
    </row>
    <row r="21" spans="1:4" x14ac:dyDescent="0.2">
      <c r="A21" s="4" t="s">
        <v>40</v>
      </c>
      <c r="B21" s="103">
        <v>2.0262650814467702E-2</v>
      </c>
      <c r="C21" s="23"/>
      <c r="D21" s="23" t="s">
        <v>49</v>
      </c>
    </row>
    <row r="22" spans="1:4" x14ac:dyDescent="0.2">
      <c r="A22" s="4" t="s">
        <v>41</v>
      </c>
      <c r="B22" s="103">
        <v>2.94079206357576E-2</v>
      </c>
      <c r="C22" s="23"/>
      <c r="D22" s="23" t="s">
        <v>50</v>
      </c>
    </row>
    <row r="23" spans="1:4" x14ac:dyDescent="0.2">
      <c r="A23" s="4" t="s">
        <v>64</v>
      </c>
      <c r="B23" s="4">
        <v>0.98</v>
      </c>
      <c r="C23" s="23"/>
      <c r="D23" s="23" t="s">
        <v>150</v>
      </c>
    </row>
    <row r="24" spans="1:4" x14ac:dyDescent="0.2">
      <c r="A24" s="4" t="s">
        <v>63</v>
      </c>
      <c r="B24" s="4">
        <v>0.9</v>
      </c>
      <c r="C24" s="23"/>
      <c r="D24" s="23" t="s">
        <v>151</v>
      </c>
    </row>
    <row r="25" spans="1:4" x14ac:dyDescent="0.2">
      <c r="A25" s="4" t="s">
        <v>65</v>
      </c>
      <c r="B25" s="4">
        <v>0.95</v>
      </c>
      <c r="C25" s="23"/>
      <c r="D25" s="23" t="s">
        <v>152</v>
      </c>
    </row>
    <row r="26" spans="1:4" x14ac:dyDescent="0.2">
      <c r="A26" s="4" t="s">
        <v>66</v>
      </c>
      <c r="B26" s="4">
        <v>0.5</v>
      </c>
      <c r="C26" s="23"/>
      <c r="D26" s="104" t="s">
        <v>153</v>
      </c>
    </row>
    <row r="27" spans="1:4" x14ac:dyDescent="0.2">
      <c r="A27" s="4" t="s">
        <v>67</v>
      </c>
      <c r="B27" s="4">
        <v>0.5</v>
      </c>
      <c r="C27" s="23"/>
      <c r="D27" s="104" t="s">
        <v>154</v>
      </c>
    </row>
    <row r="28" spans="1:4" x14ac:dyDescent="0.2">
      <c r="A28" s="4" t="s">
        <v>76</v>
      </c>
      <c r="B28" s="4">
        <v>0</v>
      </c>
      <c r="C28" s="23"/>
      <c r="D28" s="23" t="s">
        <v>155</v>
      </c>
    </row>
    <row r="29" spans="1:4" x14ac:dyDescent="0.2">
      <c r="A29" s="4" t="s">
        <v>74</v>
      </c>
      <c r="B29" s="4">
        <v>1000</v>
      </c>
      <c r="C29" s="23"/>
      <c r="D29" s="23" t="s">
        <v>156</v>
      </c>
    </row>
    <row r="30" spans="1:4" x14ac:dyDescent="0.2">
      <c r="A30" s="4" t="s">
        <v>75</v>
      </c>
      <c r="B30" s="4">
        <v>2000</v>
      </c>
      <c r="C30" s="23"/>
      <c r="D30" s="23" t="s">
        <v>157</v>
      </c>
    </row>
    <row r="31" spans="1:4" x14ac:dyDescent="0.2">
      <c r="A31" s="4" t="s">
        <v>77</v>
      </c>
      <c r="B31" s="4">
        <v>0</v>
      </c>
      <c r="C31" s="23"/>
      <c r="D31" s="23" t="s">
        <v>158</v>
      </c>
    </row>
    <row r="32" spans="1:4" x14ac:dyDescent="0.2">
      <c r="A32" s="4" t="s">
        <v>78</v>
      </c>
      <c r="B32" s="4">
        <v>0</v>
      </c>
      <c r="C32" s="23"/>
      <c r="D32" s="23" t="s">
        <v>159</v>
      </c>
    </row>
    <row r="33" spans="1:4" x14ac:dyDescent="0.2">
      <c r="A33" s="4" t="s">
        <v>68</v>
      </c>
      <c r="B33" s="4">
        <v>50</v>
      </c>
      <c r="C33" s="23"/>
      <c r="D33" s="23" t="s">
        <v>160</v>
      </c>
    </row>
    <row r="34" spans="1:4" x14ac:dyDescent="0.2">
      <c r="A34" s="4" t="s">
        <v>69</v>
      </c>
      <c r="B34" s="4">
        <v>150</v>
      </c>
      <c r="C34" s="23"/>
      <c r="D34" s="23" t="s">
        <v>161</v>
      </c>
    </row>
    <row r="35" spans="1:4" x14ac:dyDescent="0.2">
      <c r="A35" s="4" t="s">
        <v>70</v>
      </c>
      <c r="B35" s="4">
        <v>250</v>
      </c>
      <c r="C35" s="23"/>
      <c r="D35" s="23" t="s">
        <v>162</v>
      </c>
    </row>
    <row r="36" spans="1:4" x14ac:dyDescent="0.2">
      <c r="A36" s="4" t="s">
        <v>71</v>
      </c>
      <c r="B36" s="4">
        <v>400</v>
      </c>
      <c r="C36" s="23"/>
      <c r="D36" s="23" t="s">
        <v>163</v>
      </c>
    </row>
    <row r="37" spans="1:4" ht="21" x14ac:dyDescent="0.25">
      <c r="A37" s="105" t="s">
        <v>167</v>
      </c>
      <c r="B37" s="106"/>
      <c r="C37" s="106"/>
      <c r="D37" s="107"/>
    </row>
    <row r="38" spans="1:4" x14ac:dyDescent="0.2">
      <c r="A38" s="3" t="s">
        <v>34</v>
      </c>
      <c r="B38" s="49">
        <f>r_ann*Delta_t</f>
        <v>0.03</v>
      </c>
      <c r="C38" s="25" t="s">
        <v>55</v>
      </c>
      <c r="D38" s="25" t="s">
        <v>53</v>
      </c>
    </row>
    <row r="39" spans="1:4" s="51" customFormat="1" ht="59" customHeight="1" x14ac:dyDescent="0.2">
      <c r="A39" s="49" t="s">
        <v>61</v>
      </c>
      <c r="B39" s="49">
        <f>dwS1_unadj * Delta_t * (1/r_Delta_t) * (1 - EXP(-r_Delta_t))</f>
        <v>9.8514888171639503E-2</v>
      </c>
      <c r="C39" s="49" t="s">
        <v>86</v>
      </c>
      <c r="D39" s="50" t="s">
        <v>164</v>
      </c>
    </row>
    <row r="40" spans="1:4" s="51" customFormat="1" ht="59" customHeight="1" x14ac:dyDescent="0.2">
      <c r="A40" s="49" t="s">
        <v>62</v>
      </c>
      <c r="B40" s="49">
        <f>dwS2_unadj* Delta_t * (1/r_Delta_t) * (1 - EXP(-r_Delta_t))</f>
        <v>0.19702977634327901</v>
      </c>
      <c r="C40" s="49" t="s">
        <v>87</v>
      </c>
      <c r="D40" s="50" t="s">
        <v>165</v>
      </c>
    </row>
    <row r="41" spans="1:4" x14ac:dyDescent="0.2">
      <c r="A41" s="3" t="s">
        <v>54</v>
      </c>
      <c r="B41" s="49" cm="1">
        <f t="array" ref="B41">horizon/Delta_t</f>
        <v>60</v>
      </c>
      <c r="C41" s="25" t="s">
        <v>56</v>
      </c>
      <c r="D41" s="25" t="s">
        <v>166</v>
      </c>
    </row>
  </sheetData>
  <mergeCells count="2">
    <mergeCell ref="A37:D37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6F133-83C8-9742-8F80-EFE1E4C391AB}">
  <sheetPr codeName="Sheet2"/>
  <dimension ref="A1:H32"/>
  <sheetViews>
    <sheetView topLeftCell="C1" zoomScale="216" zoomScaleNormal="216" workbookViewId="0">
      <selection activeCell="C5" sqref="C5"/>
    </sheetView>
  </sheetViews>
  <sheetFormatPr baseColWidth="10" defaultRowHeight="16" x14ac:dyDescent="0.2"/>
  <cols>
    <col min="1" max="2" width="10.83203125" style="2"/>
    <col min="3" max="3" width="12.33203125" style="2" customWidth="1"/>
    <col min="4" max="4" width="20.1640625" style="2" customWidth="1"/>
    <col min="5" max="8" width="16.6640625" style="2" customWidth="1"/>
    <col min="9" max="16384" width="10.83203125" style="2"/>
  </cols>
  <sheetData>
    <row r="1" spans="1:8" x14ac:dyDescent="0.2">
      <c r="C1" s="5" t="s">
        <v>173</v>
      </c>
    </row>
    <row r="2" spans="1:8" ht="17" thickBot="1" x14ac:dyDescent="0.25">
      <c r="A2" s="8" t="s">
        <v>0</v>
      </c>
      <c r="B2" s="8" t="s">
        <v>7</v>
      </c>
      <c r="C2" s="8" t="s">
        <v>88</v>
      </c>
      <c r="D2" s="8" t="s">
        <v>1</v>
      </c>
      <c r="E2" s="8" t="s">
        <v>3</v>
      </c>
      <c r="F2" s="8" t="s">
        <v>17</v>
      </c>
      <c r="G2" s="8" t="s">
        <v>52</v>
      </c>
      <c r="H2" s="8" t="s">
        <v>51</v>
      </c>
    </row>
    <row r="3" spans="1:8" x14ac:dyDescent="0.2">
      <c r="A3" s="27" t="s">
        <v>73</v>
      </c>
      <c r="B3" s="28" t="s">
        <v>1</v>
      </c>
      <c r="C3" s="28" t="s">
        <v>89</v>
      </c>
      <c r="D3" s="29">
        <f>1-SUM(E3:H3)</f>
        <v>0.94176453358424861</v>
      </c>
      <c r="E3" s="30">
        <f>pHS1_</f>
        <v>4.5031420643994999E-2</v>
      </c>
      <c r="F3" s="31">
        <f>pHS2_</f>
        <v>2.7609199376632402E-3</v>
      </c>
      <c r="G3" s="31">
        <f>pHDeadBG</f>
        <v>9.9485170055332601E-3</v>
      </c>
      <c r="H3" s="32">
        <f>pHDeadDisease</f>
        <v>4.9460882855984205E-4</v>
      </c>
    </row>
    <row r="4" spans="1:8" x14ac:dyDescent="0.2">
      <c r="A4" s="33" t="s">
        <v>73</v>
      </c>
      <c r="B4" s="2" t="s">
        <v>3</v>
      </c>
      <c r="D4" s="34">
        <v>0</v>
      </c>
      <c r="E4" s="47">
        <f>1-(D4+F4+G4+H4)</f>
        <v>0.86070797642505803</v>
      </c>
      <c r="F4" s="34">
        <f>pS1S2_</f>
        <v>0.109179777520653</v>
      </c>
      <c r="G4" s="34">
        <f>pS1DeadBG</f>
        <v>9.8495952398212992E-3</v>
      </c>
      <c r="H4" s="46">
        <f>pS1DeadDisease</f>
        <v>2.0262650814467702E-2</v>
      </c>
    </row>
    <row r="5" spans="1:8" x14ac:dyDescent="0.2">
      <c r="A5" s="33" t="s">
        <v>73</v>
      </c>
      <c r="B5" s="2" t="s">
        <v>17</v>
      </c>
      <c r="D5" s="34">
        <v>0</v>
      </c>
      <c r="E5" s="34">
        <v>0</v>
      </c>
      <c r="F5" s="35">
        <f>1-(D5+E5+G5+H5)</f>
        <v>0.96078943915232318</v>
      </c>
      <c r="G5" s="34">
        <f>pS2DeadBG</f>
        <v>9.8026402119192006E-3</v>
      </c>
      <c r="H5" s="36">
        <f>pS2DeadDisease</f>
        <v>2.94079206357576E-2</v>
      </c>
    </row>
    <row r="6" spans="1:8" x14ac:dyDescent="0.2">
      <c r="A6" s="33" t="s">
        <v>73</v>
      </c>
      <c r="B6" s="2" t="s">
        <v>52</v>
      </c>
      <c r="D6" s="34">
        <v>0</v>
      </c>
      <c r="E6" s="34">
        <v>0</v>
      </c>
      <c r="F6" s="34">
        <v>0</v>
      </c>
      <c r="G6" s="35">
        <v>1</v>
      </c>
      <c r="H6" s="36">
        <v>0</v>
      </c>
    </row>
    <row r="7" spans="1:8" ht="17" thickBot="1" x14ac:dyDescent="0.25">
      <c r="A7" s="37" t="s">
        <v>73</v>
      </c>
      <c r="B7" s="38" t="s">
        <v>51</v>
      </c>
      <c r="C7" s="38"/>
      <c r="D7" s="39">
        <v>0</v>
      </c>
      <c r="E7" s="39">
        <v>0</v>
      </c>
      <c r="F7" s="39">
        <v>0</v>
      </c>
      <c r="G7" s="39">
        <v>0</v>
      </c>
      <c r="H7" s="40">
        <v>1</v>
      </c>
    </row>
    <row r="8" spans="1:8" x14ac:dyDescent="0.2">
      <c r="A8" s="27" t="s">
        <v>2</v>
      </c>
      <c r="B8" s="28" t="s">
        <v>1</v>
      </c>
      <c r="C8" s="28" t="s">
        <v>90</v>
      </c>
      <c r="D8" s="29">
        <f>1-SUM(E8:H8)</f>
        <v>0.94266516199712858</v>
      </c>
      <c r="E8" s="30">
        <f>pHS1_*rrS1_TxA</f>
        <v>4.4130792231115101E-2</v>
      </c>
      <c r="F8" s="31">
        <f>pHS2_</f>
        <v>2.7609199376632402E-3</v>
      </c>
      <c r="G8" s="31">
        <f>pHDeadBG</f>
        <v>9.9485170055332601E-3</v>
      </c>
      <c r="H8" s="32">
        <f>pHDeadDisease</f>
        <v>4.9460882855984205E-4</v>
      </c>
    </row>
    <row r="9" spans="1:8" x14ac:dyDescent="0.2">
      <c r="A9" s="33" t="s">
        <v>2</v>
      </c>
      <c r="B9" s="2" t="s">
        <v>3</v>
      </c>
      <c r="D9" s="34">
        <v>0</v>
      </c>
      <c r="E9" s="47">
        <f>1-(D9+F9+G9+H9)</f>
        <v>0.86070797642505803</v>
      </c>
      <c r="F9" s="34">
        <f>pS1S2_</f>
        <v>0.109179777520653</v>
      </c>
      <c r="G9" s="34">
        <f>pS1DeadBG</f>
        <v>9.8495952398212992E-3</v>
      </c>
      <c r="H9" s="46">
        <f>pS1DeadDisease</f>
        <v>2.0262650814467702E-2</v>
      </c>
    </row>
    <row r="10" spans="1:8" x14ac:dyDescent="0.2">
      <c r="A10" s="33" t="s">
        <v>2</v>
      </c>
      <c r="B10" s="2" t="s">
        <v>17</v>
      </c>
      <c r="D10" s="34">
        <v>0</v>
      </c>
      <c r="E10" s="34">
        <v>0</v>
      </c>
      <c r="F10" s="35">
        <f>1-(D10+E10+G10+H10)</f>
        <v>0.96078943915232318</v>
      </c>
      <c r="G10" s="34">
        <f>pS2DeadBG</f>
        <v>9.8026402119192006E-3</v>
      </c>
      <c r="H10" s="36">
        <f>pS2DeadDisease</f>
        <v>2.94079206357576E-2</v>
      </c>
    </row>
    <row r="11" spans="1:8" x14ac:dyDescent="0.2">
      <c r="A11" s="33" t="s">
        <v>2</v>
      </c>
      <c r="B11" s="2" t="s">
        <v>52</v>
      </c>
      <c r="D11" s="34">
        <v>0</v>
      </c>
      <c r="E11" s="34">
        <v>0</v>
      </c>
      <c r="F11" s="34">
        <v>0</v>
      </c>
      <c r="G11" s="35">
        <v>1</v>
      </c>
      <c r="H11" s="36">
        <v>0</v>
      </c>
    </row>
    <row r="12" spans="1:8" ht="17" thickBot="1" x14ac:dyDescent="0.25">
      <c r="A12" s="37" t="s">
        <v>2</v>
      </c>
      <c r="B12" s="38" t="s">
        <v>51</v>
      </c>
      <c r="C12" s="38"/>
      <c r="D12" s="39">
        <v>0</v>
      </c>
      <c r="E12" s="39">
        <v>0</v>
      </c>
      <c r="F12" s="39">
        <v>0</v>
      </c>
      <c r="G12" s="39">
        <v>0</v>
      </c>
      <c r="H12" s="40">
        <v>1</v>
      </c>
    </row>
    <row r="13" spans="1:8" x14ac:dyDescent="0.2">
      <c r="A13" s="41" t="s">
        <v>4</v>
      </c>
      <c r="B13" s="42" t="s">
        <v>1</v>
      </c>
      <c r="C13" s="28" t="s">
        <v>91</v>
      </c>
      <c r="D13" s="29">
        <f>1-SUM(E13:H13)</f>
        <v>0.94626767564864811</v>
      </c>
      <c r="E13" s="30">
        <f>pHS1_*rrS1_TxB</f>
        <v>4.0528278579595498E-2</v>
      </c>
      <c r="F13" s="31">
        <f>pHS2_</f>
        <v>2.7609199376632402E-3</v>
      </c>
      <c r="G13" s="31">
        <f>pHDeadBG</f>
        <v>9.9485170055332601E-3</v>
      </c>
      <c r="H13" s="32">
        <f>pHDeadDisease</f>
        <v>4.9460882855984205E-4</v>
      </c>
    </row>
    <row r="14" spans="1:8" x14ac:dyDescent="0.2">
      <c r="A14" s="43" t="s">
        <v>4</v>
      </c>
      <c r="B14" s="21" t="s">
        <v>3</v>
      </c>
      <c r="C14" s="21"/>
      <c r="D14" s="34">
        <v>0</v>
      </c>
      <c r="E14" s="47">
        <f>1-(D14+F14+G14+H14)</f>
        <v>0.86070797642505803</v>
      </c>
      <c r="F14" s="34">
        <f>pS1S2_</f>
        <v>0.109179777520653</v>
      </c>
      <c r="G14" s="34">
        <f>pS1DeadBG</f>
        <v>9.8495952398212992E-3</v>
      </c>
      <c r="H14" s="46">
        <f>pS1DeadDisease</f>
        <v>2.0262650814467702E-2</v>
      </c>
    </row>
    <row r="15" spans="1:8" x14ac:dyDescent="0.2">
      <c r="A15" s="43" t="s">
        <v>4</v>
      </c>
      <c r="B15" s="21" t="s">
        <v>17</v>
      </c>
      <c r="C15" s="21"/>
      <c r="D15" s="34">
        <v>0</v>
      </c>
      <c r="E15" s="34">
        <v>0</v>
      </c>
      <c r="F15" s="35">
        <f>1-(D15+E15+G15+H15)</f>
        <v>0.96078943915232318</v>
      </c>
      <c r="G15" s="34">
        <f>pS2DeadBG</f>
        <v>9.8026402119192006E-3</v>
      </c>
      <c r="H15" s="36">
        <f>pS2DeadDisease</f>
        <v>2.94079206357576E-2</v>
      </c>
    </row>
    <row r="16" spans="1:8" x14ac:dyDescent="0.2">
      <c r="A16" s="43" t="s">
        <v>4</v>
      </c>
      <c r="B16" s="21" t="s">
        <v>52</v>
      </c>
      <c r="C16" s="21"/>
      <c r="D16" s="34">
        <v>0</v>
      </c>
      <c r="E16" s="34">
        <v>0</v>
      </c>
      <c r="F16" s="34">
        <v>0</v>
      </c>
      <c r="G16" s="35">
        <v>1</v>
      </c>
      <c r="H16" s="36">
        <v>0</v>
      </c>
    </row>
    <row r="17" spans="1:8" ht="17" thickBot="1" x14ac:dyDescent="0.25">
      <c r="A17" s="44" t="s">
        <v>4</v>
      </c>
      <c r="B17" s="45" t="s">
        <v>51</v>
      </c>
      <c r="C17" s="45"/>
      <c r="D17" s="39">
        <v>0</v>
      </c>
      <c r="E17" s="39">
        <v>0</v>
      </c>
      <c r="F17" s="39">
        <v>0</v>
      </c>
      <c r="G17" s="39">
        <v>0</v>
      </c>
      <c r="H17" s="40">
        <v>1</v>
      </c>
    </row>
    <row r="18" spans="1:8" x14ac:dyDescent="0.2">
      <c r="A18" s="41" t="s">
        <v>14</v>
      </c>
      <c r="B18" s="42" t="s">
        <v>1</v>
      </c>
      <c r="C18" s="42" t="s">
        <v>92</v>
      </c>
      <c r="D18" s="29">
        <f>1-SUM(E18:H18)</f>
        <v>0.94401610461644836</v>
      </c>
      <c r="E18" s="48">
        <f>pHS1_*rrS1_TxC</f>
        <v>4.2779849611795248E-2</v>
      </c>
      <c r="F18" s="31">
        <f>pHS2_</f>
        <v>2.7609199376632402E-3</v>
      </c>
      <c r="G18" s="31">
        <f>pHDeadBG</f>
        <v>9.9485170055332601E-3</v>
      </c>
      <c r="H18" s="32">
        <f>pHDeadDisease</f>
        <v>4.9460882855984205E-4</v>
      </c>
    </row>
    <row r="19" spans="1:8" x14ac:dyDescent="0.2">
      <c r="A19" s="43" t="s">
        <v>14</v>
      </c>
      <c r="B19" s="21" t="s">
        <v>3</v>
      </c>
      <c r="C19" s="21"/>
      <c r="D19" s="34">
        <v>0</v>
      </c>
      <c r="E19" s="47">
        <f>1-(D19+F19+G19+H19)</f>
        <v>0.86070797642505803</v>
      </c>
      <c r="F19" s="34">
        <f>pS1S2_</f>
        <v>0.109179777520653</v>
      </c>
      <c r="G19" s="34">
        <f>pS1DeadBG</f>
        <v>9.8495952398212992E-3</v>
      </c>
      <c r="H19" s="46">
        <f>pS1DeadDisease</f>
        <v>2.0262650814467702E-2</v>
      </c>
    </row>
    <row r="20" spans="1:8" x14ac:dyDescent="0.2">
      <c r="A20" s="43" t="s">
        <v>14</v>
      </c>
      <c r="B20" s="21" t="s">
        <v>17</v>
      </c>
      <c r="C20" s="21"/>
      <c r="D20" s="34">
        <v>0</v>
      </c>
      <c r="E20" s="34">
        <v>0</v>
      </c>
      <c r="F20" s="35">
        <f>1-(D20+E20+G20+H20)</f>
        <v>0.96078943915232318</v>
      </c>
      <c r="G20" s="34">
        <f>pS2DeadBG</f>
        <v>9.8026402119192006E-3</v>
      </c>
      <c r="H20" s="36">
        <f>pS2DeadDisease</f>
        <v>2.94079206357576E-2</v>
      </c>
    </row>
    <row r="21" spans="1:8" x14ac:dyDescent="0.2">
      <c r="A21" s="43" t="s">
        <v>14</v>
      </c>
      <c r="B21" s="21" t="s">
        <v>52</v>
      </c>
      <c r="C21" s="21"/>
      <c r="D21" s="34">
        <v>0</v>
      </c>
      <c r="E21" s="34">
        <v>0</v>
      </c>
      <c r="F21" s="34">
        <v>0</v>
      </c>
      <c r="G21" s="35">
        <v>1</v>
      </c>
      <c r="H21" s="36">
        <v>0</v>
      </c>
    </row>
    <row r="22" spans="1:8" ht="17" thickBot="1" x14ac:dyDescent="0.25">
      <c r="A22" s="44" t="s">
        <v>14</v>
      </c>
      <c r="B22" s="45" t="s">
        <v>51</v>
      </c>
      <c r="C22" s="45"/>
      <c r="D22" s="39">
        <v>0</v>
      </c>
      <c r="E22" s="39">
        <v>0</v>
      </c>
      <c r="F22" s="39">
        <v>0</v>
      </c>
      <c r="G22" s="39">
        <v>0</v>
      </c>
      <c r="H22" s="40">
        <v>1</v>
      </c>
    </row>
    <row r="23" spans="1:8" x14ac:dyDescent="0.2">
      <c r="A23" s="41" t="s">
        <v>15</v>
      </c>
      <c r="B23" s="42" t="s">
        <v>1</v>
      </c>
      <c r="C23" s="42" t="s">
        <v>93</v>
      </c>
      <c r="D23" s="29">
        <f>1-SUM(E23:H23)</f>
        <v>0.94176453358424861</v>
      </c>
      <c r="E23" s="30">
        <f>pHS1_</f>
        <v>4.5031420643994999E-2</v>
      </c>
      <c r="F23" s="31">
        <f>pHS2_</f>
        <v>2.7609199376632402E-3</v>
      </c>
      <c r="G23" s="31">
        <f>pHDeadBG</f>
        <v>9.9485170055332601E-3</v>
      </c>
      <c r="H23" s="32">
        <f>pHDeadDisease</f>
        <v>4.9460882855984205E-4</v>
      </c>
    </row>
    <row r="24" spans="1:8" x14ac:dyDescent="0.2">
      <c r="A24" s="43" t="s">
        <v>15</v>
      </c>
      <c r="B24" s="21" t="s">
        <v>3</v>
      </c>
      <c r="C24" s="21"/>
      <c r="D24" s="34">
        <v>0</v>
      </c>
      <c r="E24" s="47">
        <f>1-(D24+F24+G24+H24)</f>
        <v>0.87083930183229186</v>
      </c>
      <c r="F24" s="34">
        <f>pS1S2_</f>
        <v>0.109179777520653</v>
      </c>
      <c r="G24" s="34">
        <f>pS1DeadBG</f>
        <v>9.8495952398212992E-3</v>
      </c>
      <c r="H24" s="46">
        <f>pS1DeadDisease*rrS1Dead_TxD</f>
        <v>1.0131325407233851E-2</v>
      </c>
    </row>
    <row r="25" spans="1:8" x14ac:dyDescent="0.2">
      <c r="A25" s="43" t="s">
        <v>15</v>
      </c>
      <c r="B25" s="21" t="s">
        <v>17</v>
      </c>
      <c r="C25" s="21"/>
      <c r="D25" s="34">
        <v>0</v>
      </c>
      <c r="E25" s="34">
        <v>0</v>
      </c>
      <c r="F25" s="35">
        <f>1-(D25+E25+G25+H25)</f>
        <v>0.97549339947020197</v>
      </c>
      <c r="G25" s="34">
        <f>pS2DeadBG</f>
        <v>9.8026402119192006E-3</v>
      </c>
      <c r="H25" s="36">
        <f>pS2DeadDisease*rrS2Dead_TxD</f>
        <v>1.47039603178788E-2</v>
      </c>
    </row>
    <row r="26" spans="1:8" x14ac:dyDescent="0.2">
      <c r="A26" s="43" t="s">
        <v>15</v>
      </c>
      <c r="B26" s="21" t="s">
        <v>52</v>
      </c>
      <c r="C26" s="21"/>
      <c r="D26" s="34">
        <v>0</v>
      </c>
      <c r="E26" s="34">
        <v>0</v>
      </c>
      <c r="F26" s="34">
        <v>0</v>
      </c>
      <c r="G26" s="35">
        <v>1</v>
      </c>
      <c r="H26" s="36">
        <v>0</v>
      </c>
    </row>
    <row r="27" spans="1:8" ht="17" thickBot="1" x14ac:dyDescent="0.25">
      <c r="A27" s="44" t="s">
        <v>15</v>
      </c>
      <c r="B27" s="45" t="s">
        <v>51</v>
      </c>
      <c r="C27" s="45"/>
      <c r="D27" s="39">
        <v>0</v>
      </c>
      <c r="E27" s="39">
        <v>0</v>
      </c>
      <c r="F27" s="39">
        <v>0</v>
      </c>
      <c r="G27" s="39">
        <v>0</v>
      </c>
      <c r="H27" s="40">
        <v>1</v>
      </c>
    </row>
    <row r="28" spans="1:8" x14ac:dyDescent="0.2">
      <c r="A28" s="41" t="s">
        <v>16</v>
      </c>
      <c r="B28" s="42" t="s">
        <v>1</v>
      </c>
      <c r="C28" s="42" t="s">
        <v>94</v>
      </c>
      <c r="D28" s="29">
        <f>1-SUM(E28:H28)</f>
        <v>0.94176453358424861</v>
      </c>
      <c r="E28" s="30">
        <f>pHS1_</f>
        <v>4.5031420643994999E-2</v>
      </c>
      <c r="F28" s="31">
        <f>pHS2_</f>
        <v>2.7609199376632402E-3</v>
      </c>
      <c r="G28" s="31">
        <f>pHDeadBG</f>
        <v>9.9485170055332601E-3</v>
      </c>
      <c r="H28" s="32">
        <f>pHDeadDisease</f>
        <v>4.9460882855984205E-4</v>
      </c>
    </row>
    <row r="29" spans="1:8" x14ac:dyDescent="0.2">
      <c r="A29" s="43" t="s">
        <v>16</v>
      </c>
      <c r="B29" s="21" t="s">
        <v>3</v>
      </c>
      <c r="C29" s="21"/>
      <c r="D29" s="34">
        <v>0</v>
      </c>
      <c r="E29" s="47" t="e">
        <f>1-(D29+F29+G29+H29)</f>
        <v>#NAME?</v>
      </c>
      <c r="F29" s="34">
        <f>pS1S2_</f>
        <v>0.109179777520653</v>
      </c>
      <c r="G29" s="34">
        <f>pS1DeadBG</f>
        <v>9.8495952398212992E-3</v>
      </c>
      <c r="H29" s="46" t="e">
        <f>pS1DeadDisease*rrS1Dead_TxE</f>
        <v>#NAME?</v>
      </c>
    </row>
    <row r="30" spans="1:8" x14ac:dyDescent="0.2">
      <c r="A30" s="43" t="s">
        <v>16</v>
      </c>
      <c r="B30" s="21" t="s">
        <v>17</v>
      </c>
      <c r="C30" s="21"/>
      <c r="D30" s="34">
        <v>0</v>
      </c>
      <c r="E30" s="34">
        <v>0</v>
      </c>
      <c r="F30" s="35" t="e">
        <f>1-(D30+E30+G30+H30)</f>
        <v>#NAME?</v>
      </c>
      <c r="G30" s="34">
        <f>pS2DeadBG</f>
        <v>9.8026402119192006E-3</v>
      </c>
      <c r="H30" s="36" t="e">
        <f>pS2DeadDisease*rrS2Dead_TxE</f>
        <v>#NAME?</v>
      </c>
    </row>
    <row r="31" spans="1:8" x14ac:dyDescent="0.2">
      <c r="A31" s="43" t="s">
        <v>16</v>
      </c>
      <c r="B31" s="21" t="s">
        <v>52</v>
      </c>
      <c r="C31" s="21"/>
      <c r="D31" s="34">
        <v>0</v>
      </c>
      <c r="E31" s="34">
        <v>0</v>
      </c>
      <c r="F31" s="34">
        <v>0</v>
      </c>
      <c r="G31" s="35">
        <v>1</v>
      </c>
      <c r="H31" s="36">
        <v>0</v>
      </c>
    </row>
    <row r="32" spans="1:8" ht="17" thickBot="1" x14ac:dyDescent="0.25">
      <c r="A32" s="44" t="s">
        <v>16</v>
      </c>
      <c r="B32" s="45" t="s">
        <v>51</v>
      </c>
      <c r="C32" s="45"/>
      <c r="D32" s="39">
        <v>0</v>
      </c>
      <c r="E32" s="39">
        <v>0</v>
      </c>
      <c r="F32" s="39">
        <v>0</v>
      </c>
      <c r="G32" s="39">
        <v>0</v>
      </c>
      <c r="H32" s="40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83411-EBB3-9B45-A4DC-FC5EE3600419}">
  <sheetPr codeName="Sheet3"/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1CC25-A386-094E-A3AE-71B561C84095}">
  <sheetPr codeName="Sheet4"/>
  <dimension ref="A2:AL67"/>
  <sheetViews>
    <sheetView topLeftCell="X1" zoomScale="151" zoomScaleNormal="151" workbookViewId="0">
      <selection activeCell="AE5" sqref="AE5:AE66"/>
    </sheetView>
  </sheetViews>
  <sheetFormatPr baseColWidth="10" defaultRowHeight="16" x14ac:dyDescent="0.2"/>
  <cols>
    <col min="1" max="1" width="10.83203125" style="2"/>
    <col min="2" max="2" width="12.33203125" style="2" customWidth="1"/>
    <col min="3" max="3" width="10.83203125" style="2"/>
    <col min="4" max="4" width="12.33203125" style="2" customWidth="1"/>
    <col min="5" max="6" width="15.1640625" style="2" customWidth="1"/>
    <col min="7" max="7" width="19.33203125" style="2" customWidth="1"/>
    <col min="8" max="8" width="10.83203125" style="2"/>
    <col min="9" max="9" width="10.83203125" style="10"/>
    <col min="10" max="13" width="10.83203125" style="2"/>
    <col min="14" max="14" width="15" style="2" customWidth="1"/>
    <col min="15" max="15" width="3.33203125" style="2" customWidth="1"/>
    <col min="16" max="16" width="14.5" style="2" customWidth="1"/>
    <col min="17" max="17" width="2.33203125" style="2" customWidth="1"/>
    <col min="18" max="18" width="10.83203125" style="2"/>
    <col min="19" max="19" width="2.6640625" style="2" customWidth="1"/>
    <col min="20" max="20" width="14.6640625" style="2" customWidth="1"/>
    <col min="21" max="21" width="1.83203125" style="2" customWidth="1"/>
    <col min="22" max="22" width="15" style="2" customWidth="1"/>
    <col min="23" max="23" width="2.33203125" style="2" customWidth="1"/>
    <col min="24" max="24" width="15" style="52" customWidth="1"/>
    <col min="25" max="25" width="2.1640625" style="2" customWidth="1"/>
    <col min="26" max="26" width="15" style="52" customWidth="1"/>
    <col min="27" max="27" width="2.83203125" style="2" customWidth="1"/>
    <col min="28" max="28" width="13.83203125" style="2" customWidth="1"/>
    <col min="29" max="29" width="15.33203125" style="2" customWidth="1"/>
    <col min="30" max="30" width="19.6640625" style="2" customWidth="1"/>
    <col min="31" max="31" width="15" style="2" customWidth="1"/>
    <col min="32" max="32" width="2.83203125" style="2" customWidth="1"/>
    <col min="33" max="33" width="4.83203125" style="2" customWidth="1"/>
    <col min="34" max="34" width="15.83203125" style="2" customWidth="1"/>
    <col min="35" max="35" width="15.5" style="2" customWidth="1"/>
    <col min="36" max="37" width="10.83203125" style="2"/>
    <col min="38" max="38" width="16.33203125" style="2" customWidth="1"/>
    <col min="39" max="16384" width="10.83203125" style="2"/>
  </cols>
  <sheetData>
    <row r="2" spans="2:38" ht="16" customHeight="1" x14ac:dyDescent="0.2">
      <c r="I2" s="113" t="s">
        <v>5</v>
      </c>
      <c r="J2" s="114"/>
      <c r="K2" s="114"/>
      <c r="L2" s="114"/>
      <c r="M2" s="114"/>
      <c r="N2" s="115"/>
      <c r="O2" s="7"/>
      <c r="P2" s="128" t="s">
        <v>102</v>
      </c>
      <c r="Q2" s="129"/>
      <c r="R2" s="129"/>
      <c r="S2" s="129"/>
      <c r="T2" s="130"/>
      <c r="V2" s="128" t="s">
        <v>108</v>
      </c>
      <c r="W2" s="129"/>
      <c r="X2" s="129"/>
      <c r="Y2" s="129"/>
      <c r="Z2" s="129"/>
      <c r="AA2" s="129"/>
      <c r="AB2" s="129"/>
      <c r="AC2" s="129"/>
      <c r="AD2" s="129"/>
      <c r="AE2" s="130"/>
    </row>
    <row r="3" spans="2:38" x14ac:dyDescent="0.2">
      <c r="I3" s="116"/>
      <c r="J3" s="117"/>
      <c r="K3" s="117"/>
      <c r="L3" s="117"/>
      <c r="M3" s="117"/>
      <c r="N3" s="118"/>
      <c r="O3" s="7"/>
      <c r="P3" s="78"/>
      <c r="Q3" s="79"/>
      <c r="R3" s="79"/>
      <c r="S3" s="79"/>
      <c r="T3" s="80"/>
      <c r="V3" s="78"/>
      <c r="W3" s="79"/>
      <c r="X3" s="79"/>
      <c r="Y3" s="79"/>
      <c r="Z3" s="79"/>
      <c r="AA3" s="79"/>
      <c r="AB3" s="79"/>
      <c r="AC3" s="79"/>
      <c r="AD3" s="79"/>
      <c r="AE3" s="80"/>
    </row>
    <row r="4" spans="2:38" ht="18" customHeight="1" x14ac:dyDescent="0.2">
      <c r="I4" s="116"/>
      <c r="J4" s="117"/>
      <c r="K4" s="117"/>
      <c r="L4" s="117"/>
      <c r="M4" s="117"/>
      <c r="N4" s="118"/>
      <c r="O4" s="7"/>
      <c r="P4" s="56"/>
      <c r="Q4" s="10"/>
      <c r="R4" s="10"/>
      <c r="S4" s="10"/>
      <c r="T4" s="63"/>
      <c r="V4" s="92"/>
      <c r="W4" s="73"/>
      <c r="X4" s="91"/>
      <c r="Y4" s="73"/>
      <c r="Z4" s="91"/>
      <c r="AA4" s="5"/>
      <c r="AB4" s="125" t="s">
        <v>103</v>
      </c>
      <c r="AC4" s="131"/>
      <c r="AD4" s="131"/>
      <c r="AE4" s="126"/>
      <c r="AG4" s="73"/>
    </row>
    <row r="5" spans="2:38" ht="184" customHeight="1" x14ac:dyDescent="0.2">
      <c r="I5" s="119"/>
      <c r="J5" s="120"/>
      <c r="K5" s="120"/>
      <c r="L5" s="120"/>
      <c r="M5" s="120"/>
      <c r="N5" s="121"/>
      <c r="O5" s="7"/>
      <c r="P5" s="70" t="s">
        <v>110</v>
      </c>
      <c r="Q5" s="6"/>
      <c r="R5" s="70" t="s">
        <v>111</v>
      </c>
      <c r="S5" s="7"/>
      <c r="T5" s="70" t="s">
        <v>112</v>
      </c>
      <c r="U5" s="6"/>
      <c r="V5" s="132" t="s">
        <v>97</v>
      </c>
      <c r="W5" s="7"/>
      <c r="X5" s="134" t="s">
        <v>95</v>
      </c>
      <c r="Y5" s="7"/>
      <c r="Z5" s="134" t="s">
        <v>96</v>
      </c>
      <c r="AA5" s="90"/>
      <c r="AB5" s="70" t="s">
        <v>115</v>
      </c>
      <c r="AC5" s="70" t="s">
        <v>113</v>
      </c>
      <c r="AD5" s="70" t="s">
        <v>114</v>
      </c>
      <c r="AE5" s="132" t="s">
        <v>174</v>
      </c>
      <c r="AF5" s="7"/>
      <c r="AG5" s="88"/>
    </row>
    <row r="6" spans="2:38" ht="17" thickBot="1" x14ac:dyDescent="0.25">
      <c r="I6" s="9" t="s">
        <v>8</v>
      </c>
      <c r="J6" s="8" t="s">
        <v>1</v>
      </c>
      <c r="K6" s="8" t="s">
        <v>3</v>
      </c>
      <c r="L6" s="8" t="s">
        <v>17</v>
      </c>
      <c r="M6" s="8" t="s">
        <v>52</v>
      </c>
      <c r="N6" s="8" t="s">
        <v>51</v>
      </c>
      <c r="O6" s="5"/>
      <c r="P6" s="72"/>
      <c r="Q6" s="5"/>
      <c r="R6" s="72"/>
      <c r="S6" s="5"/>
      <c r="T6" s="72"/>
      <c r="U6" s="5"/>
      <c r="V6" s="133"/>
      <c r="W6" s="91"/>
      <c r="X6" s="135"/>
      <c r="Y6" s="91"/>
      <c r="Z6" s="135"/>
      <c r="AA6" s="91"/>
      <c r="AB6" s="71"/>
      <c r="AC6" s="71"/>
      <c r="AD6" s="71"/>
      <c r="AE6" s="133"/>
      <c r="AG6" s="88"/>
      <c r="AH6" s="122" t="s">
        <v>109</v>
      </c>
      <c r="AI6" s="123"/>
      <c r="AJ6" s="123"/>
      <c r="AK6" s="123"/>
      <c r="AL6" s="124"/>
    </row>
    <row r="7" spans="2:38" x14ac:dyDescent="0.2">
      <c r="B7" s="54" t="s">
        <v>9</v>
      </c>
      <c r="I7" s="56">
        <v>0</v>
      </c>
      <c r="J7" s="19">
        <v>1</v>
      </c>
      <c r="K7" s="19">
        <v>0</v>
      </c>
      <c r="L7" s="19">
        <v>0</v>
      </c>
      <c r="M7" s="19">
        <v>0</v>
      </c>
      <c r="N7" s="85">
        <v>0</v>
      </c>
      <c r="O7" s="19"/>
      <c r="P7" s="64">
        <f t="shared" ref="P7:P38" si="0">EXP(-r_Delta_t * I7)</f>
        <v>1</v>
      </c>
      <c r="Q7" s="12"/>
      <c r="R7" s="13">
        <v>0.5</v>
      </c>
      <c r="S7" s="13"/>
      <c r="T7" s="65">
        <f>P7*R7</f>
        <v>0.5</v>
      </c>
      <c r="V7" s="55">
        <f>T7*($E$9*J7+$E$10*K7+$E$11*L7+$E$12*M7*$E$13*N7)</f>
        <v>0</v>
      </c>
      <c r="W7" s="11"/>
      <c r="X7" s="76">
        <f>T7*($F$9*J7+$F$10*K7+$F$11*L7+$F$12*M7+$F$13*N7)</f>
        <v>0.5</v>
      </c>
      <c r="Y7" s="77"/>
      <c r="Z7" s="76">
        <f>T7*($G$9*J7+$G$10*K7+$G$11*L7+$G$12*M7+$G$13*N7)</f>
        <v>0</v>
      </c>
      <c r="AB7" s="74">
        <v>69.107567919999994</v>
      </c>
      <c r="AC7" s="2">
        <f>(1/r_ann)*(1-EXP(-r_ann*AB7))</f>
        <v>29.140692274277946</v>
      </c>
      <c r="AD7" s="2">
        <f>0</f>
        <v>0</v>
      </c>
      <c r="AE7" s="57">
        <f>R7*AC7*AD7</f>
        <v>0</v>
      </c>
      <c r="AG7" s="93"/>
      <c r="AH7" s="125"/>
      <c r="AI7" s="126"/>
      <c r="AJ7" s="127" t="s">
        <v>101</v>
      </c>
      <c r="AK7" s="127"/>
      <c r="AL7" s="127"/>
    </row>
    <row r="8" spans="2:38" ht="17" thickBot="1" x14ac:dyDescent="0.25">
      <c r="C8" s="81" t="s">
        <v>6</v>
      </c>
      <c r="D8" s="81" t="s">
        <v>104</v>
      </c>
      <c r="E8" s="81" t="s">
        <v>105</v>
      </c>
      <c r="F8" s="81" t="s">
        <v>106</v>
      </c>
      <c r="G8" s="81" t="s">
        <v>107</v>
      </c>
      <c r="I8" s="56">
        <f>I7+1</f>
        <v>1</v>
      </c>
      <c r="J8" s="19">
        <f>J7*$C$18+K7*$C$19+L7*$C$20+M7*$C$21+N7*$C$22</f>
        <v>0.94176453358424861</v>
      </c>
      <c r="K8" s="19">
        <f>J7*$D$18+K7*$D$19+L7*$D$20+M7*$D$21+N7*$D$22</f>
        <v>4.5031420643994999E-2</v>
      </c>
      <c r="L8" s="19">
        <f>J7*$E$18+K7*$E$19+L7*$E$20+M7*$E$21+N7*$E$22</f>
        <v>2.7609199376632402E-3</v>
      </c>
      <c r="M8" s="19">
        <f>J7*$F$18+K7*$F$19+L7*$F$20+M7*$F$21+N7*$F$22</f>
        <v>9.9485170055332601E-3</v>
      </c>
      <c r="N8" s="85">
        <f>J7*$G$18+K7*$G$19+L7*$G$20+M7*$G$21+N7*$G$22</f>
        <v>4.9460882855984205E-4</v>
      </c>
      <c r="O8" s="19"/>
      <c r="P8" s="64">
        <f t="shared" si="0"/>
        <v>0.97044553354850815</v>
      </c>
      <c r="Q8" s="12"/>
      <c r="R8" s="12">
        <v>1</v>
      </c>
      <c r="S8" s="12"/>
      <c r="T8" s="65">
        <f t="shared" ref="T8:T66" si="1">P8*R8</f>
        <v>0.97044553354850815</v>
      </c>
      <c r="V8" s="55">
        <f t="shared" ref="V8:V66" si="2">T8*($E$9*J8+$E$10*K8+$E$11*L8+$E$12*M8*$E$13*N8)</f>
        <v>49.059185877289664</v>
      </c>
      <c r="W8" s="11"/>
      <c r="X8" s="76">
        <f t="shared" ref="X8:X66" si="3">T8*($F$9*J8+$F$10*K8+$F$11*L8+$F$12*M8+$F$13*N8)</f>
        <v>0.95759015719046392</v>
      </c>
      <c r="Y8" s="77"/>
      <c r="Z8" s="76">
        <f t="shared" ref="Z8:Z66" si="4">T8*($G$9*J8+$G$10*K8+$G$11*L8+$G$12*M8+$G$13*N8)</f>
        <v>4.8330602104928672E-3</v>
      </c>
      <c r="AB8" s="74">
        <v>68.115914398000001</v>
      </c>
      <c r="AC8" s="2">
        <f t="shared" ref="AC8:AC38" si="5">(1/r_ann)*(1-EXP(-r_ann*AB8))</f>
        <v>29.014088994539382</v>
      </c>
      <c r="AD8" s="2">
        <f t="shared" ref="AD8:AD39" si="6">N8-N7</f>
        <v>4.9460882855984205E-4</v>
      </c>
      <c r="AE8" s="57">
        <f t="shared" ref="AE8:AE66" si="7">R8*AC8*AD8</f>
        <v>1.4350624569320129E-2</v>
      </c>
      <c r="AG8" s="93"/>
      <c r="AH8" s="94" t="s">
        <v>116</v>
      </c>
      <c r="AI8" s="94" t="s">
        <v>121</v>
      </c>
      <c r="AJ8" s="60" t="s">
        <v>122</v>
      </c>
      <c r="AK8" s="60" t="s">
        <v>123</v>
      </c>
      <c r="AL8" s="60" t="s">
        <v>124</v>
      </c>
    </row>
    <row r="9" spans="2:38" x14ac:dyDescent="0.2">
      <c r="C9" s="82" t="s">
        <v>73</v>
      </c>
      <c r="D9" s="82" t="s">
        <v>1</v>
      </c>
      <c r="E9" s="82">
        <f>c_Healthy</f>
        <v>0</v>
      </c>
      <c r="F9" s="82">
        <f>uHealthy</f>
        <v>1</v>
      </c>
      <c r="G9" s="82">
        <v>0</v>
      </c>
      <c r="I9" s="56">
        <f t="shared" ref="I9:I10" si="8">I8+1</f>
        <v>2</v>
      </c>
      <c r="J9" s="19">
        <f>J8*$C$18+K8*$C$19+L8*$C$20+M8*$C$21+N8*$C$22</f>
        <v>0.88692043671715737</v>
      </c>
      <c r="K9" s="19">
        <f>J8*$D$18+K8*$D$19+L8*$D$20+M8*$D$21+N8*$D$22</f>
        <v>8.1167897797466582E-2</v>
      </c>
      <c r="L9" s="19">
        <f>J8*$E$18+K8*$E$19+L8*$E$20+M8*$E$21+N8*$E$22</f>
        <v>1.0169319683159119E-2</v>
      </c>
      <c r="M9" s="19">
        <f>J8*$F$18+K8*$F$19+L8*$F$20+M8*$F$21+N8*$F$22</f>
        <v>1.9788283054324569E-2</v>
      </c>
      <c r="N9" s="85">
        <f>J8*$G$18+K8*$G$19+L8*$G$20+M8*$G$21+N8*$G$22</f>
        <v>1.9540627478923174E-3</v>
      </c>
      <c r="O9" s="19"/>
      <c r="P9" s="64">
        <f t="shared" si="0"/>
        <v>0.94176453358424872</v>
      </c>
      <c r="Q9" s="12"/>
      <c r="R9" s="12">
        <v>1</v>
      </c>
      <c r="S9" s="12"/>
      <c r="T9" s="65">
        <f t="shared" si="1"/>
        <v>0.94176453358424872</v>
      </c>
      <c r="V9" s="55">
        <f t="shared" si="2"/>
        <v>95.595256627804019</v>
      </c>
      <c r="W9" s="11"/>
      <c r="X9" s="76">
        <f t="shared" si="3"/>
        <v>0.91555089013857827</v>
      </c>
      <c r="Y9" s="77"/>
      <c r="Z9" s="76">
        <f t="shared" si="4"/>
        <v>9.4175560164272924E-3</v>
      </c>
      <c r="AB9" s="74">
        <v>67.124260875999994</v>
      </c>
      <c r="AC9" s="2">
        <f t="shared" si="5"/>
        <v>28.883662733006101</v>
      </c>
      <c r="AD9" s="2">
        <f t="shared" si="6"/>
        <v>1.4594539193324755E-3</v>
      </c>
      <c r="AE9" s="57">
        <f t="shared" si="7"/>
        <v>4.2154374780363116E-2</v>
      </c>
      <c r="AG9" s="93"/>
      <c r="AH9" s="61">
        <f>SUM(V7:V66)</f>
        <v>12746.238995049711</v>
      </c>
      <c r="AI9" s="62">
        <f>SUM(X7:X66)</f>
        <v>17.84065180190073</v>
      </c>
      <c r="AJ9" s="62">
        <f>SUM(Z7:Z66)</f>
        <v>1.2556943092063138</v>
      </c>
      <c r="AK9" s="62">
        <f>SUM(AE7:AE66)</f>
        <v>10.232492100046107</v>
      </c>
      <c r="AL9" s="62">
        <f>AJ9+AK9</f>
        <v>11.488186409252421</v>
      </c>
    </row>
    <row r="10" spans="2:38" x14ac:dyDescent="0.2">
      <c r="C10" s="83" t="s">
        <v>73</v>
      </c>
      <c r="D10" s="83" t="s">
        <v>3</v>
      </c>
      <c r="E10" s="83">
        <f>c_Sick</f>
        <v>1000</v>
      </c>
      <c r="F10" s="83">
        <f>uS1_</f>
        <v>0.95</v>
      </c>
      <c r="G10" s="83">
        <f>dwS1_</f>
        <v>9.8514888171639503E-2</v>
      </c>
      <c r="I10" s="56">
        <f t="shared" si="8"/>
        <v>3</v>
      </c>
      <c r="J10" s="19">
        <f t="shared" ref="J10:J66" si="9">J9*$C$18+K9*$C$19+L9*$C$20+M9*$C$21+N9*$C$22</f>
        <v>0.83527021141127178</v>
      </c>
      <c r="K10" s="19">
        <f t="shared" ref="K10:K66" si="10">J9*$D$18+K9*$D$19+L9*$D$20+M9*$D$21+N9*$D$22</f>
        <v>0.10980114432749945</v>
      </c>
      <c r="L10" s="19">
        <f t="shared" ref="L10:L66" si="11">J9*$E$18+K9*$E$19+L9*$E$20+M9*$E$21+N9*$E$22</f>
        <v>2.108118429514302E-2</v>
      </c>
      <c r="M10" s="19">
        <f t="shared" ref="M10:M66" si="12">J9*$F$18+K9*$F$19+L9*$F$20+M9*$F$21+N9*$F$22</f>
        <v>2.9510983223386422E-2</v>
      </c>
      <c r="N10" s="85">
        <f t="shared" ref="N10:N66" si="13">J9*$G$18+K9*$G$19+L9*$G$20+M9*$G$21+N9*$G$22</f>
        <v>4.3364767426992325E-3</v>
      </c>
      <c r="O10" s="19"/>
      <c r="P10" s="64">
        <f t="shared" si="0"/>
        <v>0.91393118527122819</v>
      </c>
      <c r="Q10" s="12"/>
      <c r="R10" s="12">
        <v>1</v>
      </c>
      <c r="S10" s="12"/>
      <c r="T10" s="65">
        <f t="shared" si="1"/>
        <v>0.91393118527122819</v>
      </c>
      <c r="V10" s="55">
        <f t="shared" si="2"/>
        <v>138.88419347893128</v>
      </c>
      <c r="W10" s="11"/>
      <c r="X10" s="76">
        <f t="shared" si="3"/>
        <v>0.87412605121707831</v>
      </c>
      <c r="Y10" s="77"/>
      <c r="Z10" s="76">
        <f t="shared" si="4"/>
        <v>1.3682160789385261E-2</v>
      </c>
      <c r="AB10" s="74">
        <v>66.132607354000001</v>
      </c>
      <c r="AC10" s="2">
        <f t="shared" si="5"/>
        <v>28.749298048831442</v>
      </c>
      <c r="AD10" s="2">
        <f t="shared" si="6"/>
        <v>2.3824139948069151E-3</v>
      </c>
      <c r="AE10" s="57">
        <f t="shared" si="7"/>
        <v>6.8492730012411171E-2</v>
      </c>
      <c r="AG10" s="89"/>
      <c r="AH10" s="5"/>
    </row>
    <row r="11" spans="2:38" x14ac:dyDescent="0.2">
      <c r="C11" s="83" t="s">
        <v>73</v>
      </c>
      <c r="D11" s="83" t="s">
        <v>17</v>
      </c>
      <c r="E11" s="83">
        <f>c_Sicker</f>
        <v>2000</v>
      </c>
      <c r="F11" s="83">
        <f>uS2_</f>
        <v>0.8</v>
      </c>
      <c r="G11" s="83">
        <f>dwS2_</f>
        <v>0.19702977634327901</v>
      </c>
      <c r="I11" s="56">
        <f>I10+1</f>
        <v>4</v>
      </c>
      <c r="J11" s="19">
        <f t="shared" si="9"/>
        <v>0.78662786106655314</v>
      </c>
      <c r="K11" s="19">
        <f t="shared" si="10"/>
        <v>0.13212012498473741</v>
      </c>
      <c r="L11" s="19">
        <f t="shared" si="11"/>
        <v>3.4548757924808299E-2</v>
      </c>
      <c r="M11" s="19">
        <f t="shared" si="12"/>
        <v>3.9108831219208343E-2</v>
      </c>
      <c r="N11" s="85">
        <f t="shared" si="13"/>
        <v>7.5944248046927315E-3</v>
      </c>
      <c r="O11" s="19"/>
      <c r="P11" s="64">
        <f t="shared" si="0"/>
        <v>0.88692043671715748</v>
      </c>
      <c r="Q11" s="12"/>
      <c r="R11" s="12">
        <v>1</v>
      </c>
      <c r="S11" s="12"/>
      <c r="T11" s="65">
        <f t="shared" si="1"/>
        <v>0.88692043671715748</v>
      </c>
      <c r="V11" s="55">
        <f t="shared" si="2"/>
        <v>178.46403788400139</v>
      </c>
      <c r="W11" s="11"/>
      <c r="X11" s="76">
        <f t="shared" si="3"/>
        <v>0.83351096264745517</v>
      </c>
      <c r="Y11" s="77"/>
      <c r="Z11" s="76">
        <f t="shared" si="4"/>
        <v>1.7581364734801635E-2</v>
      </c>
      <c r="AB11" s="74">
        <v>65.140953831999994</v>
      </c>
      <c r="AC11" s="2">
        <f t="shared" si="5"/>
        <v>28.610876015253876</v>
      </c>
      <c r="AD11" s="2">
        <f t="shared" si="6"/>
        <v>3.257948061993499E-3</v>
      </c>
      <c r="AE11" s="57">
        <f t="shared" si="7"/>
        <v>9.3212748065832643E-2</v>
      </c>
      <c r="AG11" s="89"/>
      <c r="AH11" s="5"/>
    </row>
    <row r="12" spans="2:38" x14ac:dyDescent="0.2">
      <c r="C12" s="83" t="s">
        <v>73</v>
      </c>
      <c r="D12" s="83" t="s">
        <v>52</v>
      </c>
      <c r="E12" s="83">
        <f>c_DeadBG</f>
        <v>0</v>
      </c>
      <c r="F12" s="83">
        <f>uDeadBG</f>
        <v>0</v>
      </c>
      <c r="G12" s="83">
        <f>0</f>
        <v>0</v>
      </c>
      <c r="I12" s="56">
        <f>I11+1</f>
        <v>5</v>
      </c>
      <c r="J12" s="19">
        <f t="shared" si="9"/>
        <v>0.74081822068171754</v>
      </c>
      <c r="K12" s="19">
        <f t="shared" si="10"/>
        <v>0.1491398155226131</v>
      </c>
      <c r="L12" s="19">
        <f t="shared" si="11"/>
        <v>4.9790744146960483E-2</v>
      </c>
      <c r="M12" s="19">
        <f t="shared" si="12"/>
        <v>4.8574610669895053E-2</v>
      </c>
      <c r="N12" s="85">
        <f t="shared" si="13"/>
        <v>1.1676608978813723E-2</v>
      </c>
      <c r="O12" s="19"/>
      <c r="P12" s="64">
        <f t="shared" si="0"/>
        <v>0.86070797642505781</v>
      </c>
      <c r="Q12" s="12"/>
      <c r="R12" s="12">
        <v>1</v>
      </c>
      <c r="S12" s="12"/>
      <c r="T12" s="65">
        <f t="shared" si="1"/>
        <v>0.86070797642505781</v>
      </c>
      <c r="V12" s="55">
        <f t="shared" si="2"/>
        <v>214.07641010173106</v>
      </c>
      <c r="W12" s="11"/>
      <c r="X12" s="76">
        <f t="shared" si="3"/>
        <v>0.79385992151504647</v>
      </c>
      <c r="Y12" s="77"/>
      <c r="Z12" s="76">
        <f t="shared" si="4"/>
        <v>2.108971360135807E-2</v>
      </c>
      <c r="AB12" s="74">
        <v>64.149300310000001</v>
      </c>
      <c r="AC12" s="2">
        <f t="shared" si="5"/>
        <v>28.468274114334424</v>
      </c>
      <c r="AD12" s="2">
        <f t="shared" si="6"/>
        <v>4.082184174120991E-3</v>
      </c>
      <c r="AE12" s="57">
        <f t="shared" si="7"/>
        <v>0.11621273805407425</v>
      </c>
      <c r="AG12" s="89"/>
      <c r="AH12" s="5"/>
    </row>
    <row r="13" spans="2:38" x14ac:dyDescent="0.2">
      <c r="C13" s="83" t="s">
        <v>73</v>
      </c>
      <c r="D13" s="83" t="s">
        <v>51</v>
      </c>
      <c r="E13" s="83">
        <f>c_DeadDisease</f>
        <v>0</v>
      </c>
      <c r="F13" s="83">
        <f>uDeadDisease</f>
        <v>0</v>
      </c>
      <c r="G13" s="83">
        <f>0</f>
        <v>0</v>
      </c>
      <c r="I13" s="56">
        <f t="shared" ref="I13:I15" si="14">I12+1</f>
        <v>6</v>
      </c>
      <c r="J13" s="19">
        <f t="shared" si="9"/>
        <v>0.69767632607103069</v>
      </c>
      <c r="K13" s="19">
        <f t="shared" si="10"/>
        <v>0.16172592573912911</v>
      </c>
      <c r="L13" s="19">
        <f t="shared" si="11"/>
        <v>6.6166812817829462E-2</v>
      </c>
      <c r="M13" s="19">
        <f t="shared" si="12"/>
        <v>5.790170090415174E-2</v>
      </c>
      <c r="N13" s="85">
        <f t="shared" si="13"/>
        <v>1.652923446785886E-2</v>
      </c>
      <c r="O13" s="19"/>
      <c r="P13" s="64">
        <f t="shared" si="0"/>
        <v>0.835270211411272</v>
      </c>
      <c r="Q13" s="12"/>
      <c r="R13" s="12">
        <v>1</v>
      </c>
      <c r="S13" s="12"/>
      <c r="T13" s="65">
        <f t="shared" si="1"/>
        <v>0.835270211411272</v>
      </c>
      <c r="V13" s="55">
        <f t="shared" si="2"/>
        <v>245.61918364432302</v>
      </c>
      <c r="W13" s="11"/>
      <c r="X13" s="76">
        <f t="shared" si="3"/>
        <v>0.75529259233226187</v>
      </c>
      <c r="Y13" s="77"/>
      <c r="Z13" s="76">
        <f t="shared" si="4"/>
        <v>2.4197146409529868E-2</v>
      </c>
      <c r="AB13" s="74">
        <v>63.158695668</v>
      </c>
      <c r="AC13" s="2">
        <f t="shared" si="5"/>
        <v>28.321523834599102</v>
      </c>
      <c r="AD13" s="2">
        <f t="shared" si="6"/>
        <v>4.852625489045137E-3</v>
      </c>
      <c r="AE13" s="57">
        <f t="shared" si="7"/>
        <v>0.13743374844837497</v>
      </c>
      <c r="AG13" s="89"/>
    </row>
    <row r="14" spans="2:38" x14ac:dyDescent="0.2">
      <c r="I14" s="56">
        <f t="shared" si="14"/>
        <v>7</v>
      </c>
      <c r="J14" s="19">
        <f t="shared" si="9"/>
        <v>0.65704681981505642</v>
      </c>
      <c r="K14" s="19">
        <f t="shared" si="10"/>
        <v>0.1706161503910566</v>
      </c>
      <c r="L14" s="19">
        <f t="shared" si="11"/>
        <v>8.3155804047944024E-2</v>
      </c>
      <c r="M14" s="19">
        <f t="shared" si="12"/>
        <v>6.7084090066765759E-2</v>
      </c>
      <c r="N14" s="85">
        <f t="shared" si="13"/>
        <v>2.2097135679177052E-2</v>
      </c>
      <c r="O14" s="19"/>
      <c r="P14" s="64">
        <f t="shared" si="0"/>
        <v>0.81058424597018708</v>
      </c>
      <c r="Q14" s="12"/>
      <c r="R14" s="12">
        <v>1</v>
      </c>
      <c r="S14" s="12"/>
      <c r="T14" s="65">
        <f t="shared" si="1"/>
        <v>0.81058424597018708</v>
      </c>
      <c r="V14" s="55">
        <f t="shared" si="2"/>
        <v>273.10833305956533</v>
      </c>
      <c r="W14" s="11"/>
      <c r="X14" s="76">
        <f t="shared" si="3"/>
        <v>0.71789945421901191</v>
      </c>
      <c r="Y14" s="77"/>
      <c r="Z14" s="76">
        <f t="shared" si="4"/>
        <v>2.6905236890105953E-2</v>
      </c>
      <c r="AB14" s="74">
        <v>62.168091025999999</v>
      </c>
      <c r="AC14" s="2">
        <f t="shared" si="5"/>
        <v>28.17034696031828</v>
      </c>
      <c r="AD14" s="2">
        <f t="shared" si="6"/>
        <v>5.5679012113181922E-3</v>
      </c>
      <c r="AE14" s="57">
        <f t="shared" si="7"/>
        <v>0.15684970896360992</v>
      </c>
      <c r="AG14" s="89"/>
    </row>
    <row r="15" spans="2:38" x14ac:dyDescent="0.2">
      <c r="B15" s="53" t="s">
        <v>98</v>
      </c>
      <c r="I15" s="56">
        <f t="shared" si="14"/>
        <v>8</v>
      </c>
      <c r="J15" s="19">
        <f t="shared" si="9"/>
        <v>0.61878339180614039</v>
      </c>
      <c r="K15" s="19">
        <f t="shared" si="10"/>
        <v>0.17643843327441067</v>
      </c>
      <c r="L15" s="19">
        <f t="shared" si="11"/>
        <v>0.10033710533941606</v>
      </c>
      <c r="M15" s="19">
        <f t="shared" si="12"/>
        <v>7.6116377978470623E-2</v>
      </c>
      <c r="N15" s="85">
        <f t="shared" si="13"/>
        <v>2.832469160156198E-2</v>
      </c>
      <c r="O15" s="19"/>
      <c r="P15" s="64">
        <f t="shared" si="0"/>
        <v>0.78662786106655347</v>
      </c>
      <c r="Q15" s="12"/>
      <c r="R15" s="12">
        <v>1</v>
      </c>
      <c r="S15" s="12"/>
      <c r="T15" s="65">
        <f t="shared" si="1"/>
        <v>0.78662786106655347</v>
      </c>
      <c r="V15" s="55">
        <f t="shared" si="2"/>
        <v>296.64731249409215</v>
      </c>
      <c r="W15" s="11"/>
      <c r="X15" s="76">
        <f t="shared" si="3"/>
        <v>0.68174644401472917</v>
      </c>
      <c r="Y15" s="77"/>
      <c r="Z15" s="76">
        <f t="shared" si="4"/>
        <v>2.9224176816772883E-2</v>
      </c>
      <c r="AB15" s="74">
        <v>61.177486383999998</v>
      </c>
      <c r="AC15" s="2">
        <f t="shared" si="5"/>
        <v>28.01460996711771</v>
      </c>
      <c r="AD15" s="2">
        <f t="shared" si="6"/>
        <v>6.2275559223849281E-3</v>
      </c>
      <c r="AE15" s="57">
        <f t="shared" si="7"/>
        <v>0.17446255021402773</v>
      </c>
      <c r="AG15" s="89"/>
    </row>
    <row r="16" spans="2:38" x14ac:dyDescent="0.2">
      <c r="C16" s="111" t="s">
        <v>99</v>
      </c>
      <c r="D16" s="111"/>
      <c r="E16" s="111"/>
      <c r="F16" s="111"/>
      <c r="G16" s="111"/>
      <c r="I16" s="56">
        <f t="shared" ref="I16:I47" si="15">I15+1</f>
        <v>9</v>
      </c>
      <c r="J16" s="19">
        <f t="shared" si="9"/>
        <v>0.5827482523739892</v>
      </c>
      <c r="K16" s="19">
        <f t="shared" si="10"/>
        <v>0.17972666207116592</v>
      </c>
      <c r="L16" s="19">
        <f t="shared" si="11"/>
        <v>0.11737475145975032</v>
      </c>
      <c r="M16" s="19">
        <f t="shared" si="12"/>
        <v>8.4993770770644461E-2</v>
      </c>
      <c r="N16" s="85">
        <f t="shared" si="13"/>
        <v>3.5156563324449844E-2</v>
      </c>
      <c r="O16" s="19"/>
      <c r="P16" s="64">
        <f t="shared" si="0"/>
        <v>0.76337949433685315</v>
      </c>
      <c r="Q16" s="12"/>
      <c r="R16" s="12">
        <v>1</v>
      </c>
      <c r="S16" s="12"/>
      <c r="T16" s="65">
        <f t="shared" si="1"/>
        <v>0.76337949433685315</v>
      </c>
      <c r="V16" s="55">
        <f t="shared" si="2"/>
        <v>316.40260524525314</v>
      </c>
      <c r="W16" s="11"/>
      <c r="X16" s="76">
        <f t="shared" si="3"/>
        <v>0.64687891494694738</v>
      </c>
      <c r="Y16" s="77"/>
      <c r="Z16" s="76">
        <f t="shared" si="4"/>
        <v>3.1170367272951513E-2</v>
      </c>
      <c r="AB16" s="74">
        <v>60.186881741999997</v>
      </c>
      <c r="AC16" s="2">
        <f t="shared" si="5"/>
        <v>27.854175302976561</v>
      </c>
      <c r="AD16" s="2">
        <f t="shared" si="6"/>
        <v>6.8318717228878639E-3</v>
      </c>
      <c r="AE16" s="57">
        <f t="shared" si="7"/>
        <v>0.19029615261676708</v>
      </c>
      <c r="AG16" s="89"/>
    </row>
    <row r="17" spans="1:33" x14ac:dyDescent="0.2">
      <c r="C17" s="2" t="s">
        <v>1</v>
      </c>
      <c r="D17" s="2" t="s">
        <v>3</v>
      </c>
      <c r="E17" s="2" t="s">
        <v>17</v>
      </c>
      <c r="F17" s="2" t="s">
        <v>52</v>
      </c>
      <c r="G17" s="2" t="s">
        <v>51</v>
      </c>
      <c r="I17" s="56">
        <f t="shared" si="15"/>
        <v>10</v>
      </c>
      <c r="J17" s="19">
        <f t="shared" si="9"/>
        <v>0.54881163609402595</v>
      </c>
      <c r="K17" s="19">
        <f t="shared" si="10"/>
        <v>0.18093415330310952</v>
      </c>
      <c r="L17" s="19">
        <f t="shared" si="11"/>
        <v>0.13400385987373409</v>
      </c>
      <c r="M17" s="19">
        <f t="shared" si="12"/>
        <v>9.371206900306038E-2</v>
      </c>
      <c r="N17" s="85">
        <f t="shared" si="13"/>
        <v>4.253828172606982E-2</v>
      </c>
      <c r="O17" s="19"/>
      <c r="P17" s="64">
        <f t="shared" si="0"/>
        <v>0.74081822068171788</v>
      </c>
      <c r="Q17" s="12"/>
      <c r="R17" s="12">
        <v>1</v>
      </c>
      <c r="S17" s="12"/>
      <c r="T17" s="65">
        <f t="shared" si="1"/>
        <v>0.74081822068171788</v>
      </c>
      <c r="V17" s="55">
        <f t="shared" si="2"/>
        <v>332.5843195828466</v>
      </c>
      <c r="W17" s="11"/>
      <c r="X17" s="76">
        <f t="shared" si="3"/>
        <v>0.61332501220454694</v>
      </c>
      <c r="Y17" s="77"/>
      <c r="Z17" s="76">
        <f t="shared" si="4"/>
        <v>3.2764507051344947E-2</v>
      </c>
      <c r="AB17" s="74">
        <v>59.196277100000003</v>
      </c>
      <c r="AC17" s="2">
        <f t="shared" si="5"/>
        <v>27.688901266736913</v>
      </c>
      <c r="AD17" s="2">
        <f t="shared" si="6"/>
        <v>7.3817184016199758E-3</v>
      </c>
      <c r="AE17" s="57">
        <f t="shared" si="7"/>
        <v>0.20439167200131053</v>
      </c>
      <c r="AG17" s="89"/>
    </row>
    <row r="18" spans="1:33" x14ac:dyDescent="0.2">
      <c r="A18" s="112" t="s">
        <v>100</v>
      </c>
      <c r="B18" s="2" t="s">
        <v>1</v>
      </c>
      <c r="C18" s="84" cm="1">
        <f t="array" ref="C18:G22">mP_NH</f>
        <v>0.94176453358424861</v>
      </c>
      <c r="D18" s="84">
        <v>4.5031420643994999E-2</v>
      </c>
      <c r="E18" s="84">
        <v>2.7609199376632402E-3</v>
      </c>
      <c r="F18" s="84">
        <v>9.9485170055332601E-3</v>
      </c>
      <c r="G18" s="84">
        <v>4.9460882855984205E-4</v>
      </c>
      <c r="I18" s="56">
        <f t="shared" si="15"/>
        <v>11</v>
      </c>
      <c r="J18" s="19">
        <f t="shared" si="9"/>
        <v>0.51685133449169873</v>
      </c>
      <c r="K18" s="19">
        <f t="shared" si="10"/>
        <v>0.1804452365949698</v>
      </c>
      <c r="L18" s="19">
        <f t="shared" si="11"/>
        <v>0.1500190689639663</v>
      </c>
      <c r="M18" s="19">
        <f t="shared" si="12"/>
        <v>0.10226765069802238</v>
      </c>
      <c r="N18" s="85">
        <f t="shared" si="13"/>
        <v>5.0416709251342527E-2</v>
      </c>
      <c r="O18" s="19"/>
      <c r="P18" s="64">
        <f t="shared" si="0"/>
        <v>0.71892373343192617</v>
      </c>
      <c r="Q18" s="12"/>
      <c r="R18" s="12">
        <v>1</v>
      </c>
      <c r="S18" s="12"/>
      <c r="T18" s="65">
        <f t="shared" si="1"/>
        <v>0.71892373343192617</v>
      </c>
      <c r="V18" s="55">
        <f t="shared" si="2"/>
        <v>345.43090146397543</v>
      </c>
      <c r="W18" s="11"/>
      <c r="X18" s="76">
        <f t="shared" si="3"/>
        <v>0.58109855135271005</v>
      </c>
      <c r="Y18" s="77"/>
      <c r="Z18" s="76">
        <f t="shared" si="4"/>
        <v>3.4030086628752163E-2</v>
      </c>
      <c r="AB18" s="74">
        <v>58.207544407999997</v>
      </c>
      <c r="AC18" s="2">
        <f t="shared" si="5"/>
        <v>27.518968418129546</v>
      </c>
      <c r="AD18" s="2">
        <f t="shared" si="6"/>
        <v>7.8784275252727076E-3</v>
      </c>
      <c r="AE18" s="57">
        <f t="shared" si="7"/>
        <v>0.21680619825250216</v>
      </c>
      <c r="AG18" s="89"/>
    </row>
    <row r="19" spans="1:33" x14ac:dyDescent="0.2">
      <c r="A19" s="112"/>
      <c r="B19" s="2" t="s">
        <v>3</v>
      </c>
      <c r="C19" s="84">
        <v>0</v>
      </c>
      <c r="D19" s="84">
        <v>0.86070797642505803</v>
      </c>
      <c r="E19" s="84">
        <v>0.109179777520653</v>
      </c>
      <c r="F19" s="84">
        <v>9.8495952398212992E-3</v>
      </c>
      <c r="G19" s="84">
        <v>2.0262650814467702E-2</v>
      </c>
      <c r="I19" s="56">
        <f t="shared" si="15"/>
        <v>12</v>
      </c>
      <c r="J19" s="19">
        <f t="shared" si="9"/>
        <v>0.48675225595997113</v>
      </c>
      <c r="K19" s="19">
        <f t="shared" si="10"/>
        <v>0.17858520429910313</v>
      </c>
      <c r="L19" s="19">
        <f t="shared" si="11"/>
        <v>0.16526469307234926</v>
      </c>
      <c r="M19" s="19">
        <f t="shared" si="12"/>
        <v>0.1106574504899407</v>
      </c>
      <c r="N19" s="85">
        <f t="shared" si="13"/>
        <v>5.8740396178635509E-2</v>
      </c>
      <c r="O19" s="19"/>
      <c r="P19" s="64">
        <f t="shared" si="0"/>
        <v>0.69767632607103103</v>
      </c>
      <c r="Q19" s="12"/>
      <c r="R19" s="12">
        <v>1</v>
      </c>
      <c r="S19" s="12"/>
      <c r="T19" s="65">
        <f t="shared" si="1"/>
        <v>0.69767632607103103</v>
      </c>
      <c r="V19" s="55">
        <f t="shared" si="2"/>
        <v>355.19719700998917</v>
      </c>
      <c r="W19" s="11"/>
      <c r="X19" s="76">
        <f t="shared" si="3"/>
        <v>0.55020147252325802</v>
      </c>
      <c r="Y19" s="77"/>
      <c r="Z19" s="76">
        <f t="shared" si="4"/>
        <v>3.4992212142318888E-2</v>
      </c>
      <c r="AB19" s="74">
        <v>57.218811715999998</v>
      </c>
      <c r="AC19" s="2">
        <f t="shared" si="5"/>
        <v>27.343919523710113</v>
      </c>
      <c r="AD19" s="2">
        <f t="shared" si="6"/>
        <v>8.3236869272929823E-3</v>
      </c>
      <c r="AE19" s="57">
        <f t="shared" si="7"/>
        <v>0.22760222548045722</v>
      </c>
      <c r="AG19" s="89"/>
    </row>
    <row r="20" spans="1:33" x14ac:dyDescent="0.2">
      <c r="A20" s="112"/>
      <c r="B20" s="2" t="s">
        <v>17</v>
      </c>
      <c r="C20" s="84">
        <v>0</v>
      </c>
      <c r="D20" s="84">
        <v>0</v>
      </c>
      <c r="E20" s="84">
        <v>0.96078943915232318</v>
      </c>
      <c r="F20" s="84">
        <v>9.8026402119192006E-3</v>
      </c>
      <c r="G20" s="84">
        <v>2.94079206357576E-2</v>
      </c>
      <c r="I20" s="56">
        <f t="shared" si="15"/>
        <v>13</v>
      </c>
      <c r="J20" s="19">
        <f t="shared" si="9"/>
        <v>0.45840601130522302</v>
      </c>
      <c r="K20" s="19">
        <f t="shared" si="10"/>
        <v>0.17562885539928361</v>
      </c>
      <c r="L20" s="19">
        <f t="shared" si="11"/>
        <v>0.17962634865070215</v>
      </c>
      <c r="M20" s="19">
        <f t="shared" si="12"/>
        <v>0.11887893588992861</v>
      </c>
      <c r="N20" s="85">
        <f t="shared" si="13"/>
        <v>6.7459848754862314E-2</v>
      </c>
      <c r="O20" s="19"/>
      <c r="P20" s="64">
        <f t="shared" si="0"/>
        <v>0.67705687449816465</v>
      </c>
      <c r="Q20" s="12"/>
      <c r="R20" s="12">
        <v>1</v>
      </c>
      <c r="S20" s="12"/>
      <c r="T20" s="65">
        <f t="shared" si="1"/>
        <v>0.67705687449816465</v>
      </c>
      <c r="V20" s="55">
        <f t="shared" si="2"/>
        <v>362.14523229825306</v>
      </c>
      <c r="W20" s="11"/>
      <c r="X20" s="76">
        <f t="shared" si="3"/>
        <v>0.52062593233436683</v>
      </c>
      <c r="Y20" s="77"/>
      <c r="Z20" s="76">
        <f t="shared" si="4"/>
        <v>3.5676697061754817E-2</v>
      </c>
      <c r="AB20" s="74">
        <v>56.230079023999998</v>
      </c>
      <c r="AC20" s="2">
        <f t="shared" si="5"/>
        <v>27.163600558374192</v>
      </c>
      <c r="AD20" s="2">
        <f t="shared" si="6"/>
        <v>8.7194525762268049E-3</v>
      </c>
      <c r="AE20" s="57">
        <f t="shared" si="7"/>
        <v>0.23685172686831171</v>
      </c>
      <c r="AG20" s="89"/>
    </row>
    <row r="21" spans="1:33" x14ac:dyDescent="0.2">
      <c r="A21" s="112"/>
      <c r="B21" s="2" t="s">
        <v>52</v>
      </c>
      <c r="C21" s="84">
        <v>0</v>
      </c>
      <c r="D21" s="84">
        <v>0</v>
      </c>
      <c r="E21" s="84">
        <v>0</v>
      </c>
      <c r="F21" s="84">
        <v>1</v>
      </c>
      <c r="G21" s="84">
        <v>0</v>
      </c>
      <c r="I21" s="56">
        <f t="shared" si="15"/>
        <v>14</v>
      </c>
      <c r="J21" s="19">
        <f t="shared" si="9"/>
        <v>0.43171052342907917</v>
      </c>
      <c r="K21" s="19">
        <f t="shared" si="10"/>
        <v>0.17180783065338795</v>
      </c>
      <c r="L21" s="19">
        <f t="shared" si="11"/>
        <v>0.19302384043194576</v>
      </c>
      <c r="M21" s="19">
        <f t="shared" si="12"/>
        <v>0.12693008149535692</v>
      </c>
      <c r="N21" s="85">
        <f t="shared" si="13"/>
        <v>7.6527723990229876E-2</v>
      </c>
      <c r="O21" s="19"/>
      <c r="P21" s="64">
        <f t="shared" si="0"/>
        <v>0.65704681981505675</v>
      </c>
      <c r="Q21" s="12"/>
      <c r="R21" s="12">
        <v>1</v>
      </c>
      <c r="S21" s="12"/>
      <c r="T21" s="65">
        <f t="shared" si="1"/>
        <v>0.65704681981505675</v>
      </c>
      <c r="V21" s="55">
        <f t="shared" si="2"/>
        <v>366.53718975873022</v>
      </c>
      <c r="W21" s="11"/>
      <c r="X21" s="76">
        <f t="shared" si="3"/>
        <v>0.49235608621583493</v>
      </c>
      <c r="Y21" s="77"/>
      <c r="Z21" s="76">
        <f t="shared" si="4"/>
        <v>3.6109370259828313E-2</v>
      </c>
      <c r="AB21" s="74">
        <v>55.241346331999999</v>
      </c>
      <c r="AC21" s="2">
        <f t="shared" si="5"/>
        <v>26.977852859894536</v>
      </c>
      <c r="AD21" s="2">
        <f t="shared" si="6"/>
        <v>9.0678752353675618E-3</v>
      </c>
      <c r="AE21" s="57">
        <f t="shared" si="7"/>
        <v>0.24463180385162761</v>
      </c>
      <c r="AG21" s="89"/>
    </row>
    <row r="22" spans="1:33" x14ac:dyDescent="0.2">
      <c r="A22" s="112"/>
      <c r="B22" s="2" t="s">
        <v>51</v>
      </c>
      <c r="C22" s="84">
        <v>0</v>
      </c>
      <c r="D22" s="84">
        <v>0</v>
      </c>
      <c r="E22" s="84">
        <v>0</v>
      </c>
      <c r="F22" s="84">
        <v>0</v>
      </c>
      <c r="G22" s="84">
        <v>1</v>
      </c>
      <c r="I22" s="56">
        <f t="shared" si="15"/>
        <v>15</v>
      </c>
      <c r="J22" s="19">
        <f t="shared" si="9"/>
        <v>0.40656965974059855</v>
      </c>
      <c r="K22" s="19">
        <f t="shared" si="10"/>
        <v>0.1673169084326307</v>
      </c>
      <c r="L22" s="19">
        <f t="shared" si="11"/>
        <v>0.20540512631011398</v>
      </c>
      <c r="M22" s="19">
        <f t="shared" si="12"/>
        <v>0.13480934183020368</v>
      </c>
      <c r="N22" s="85">
        <f t="shared" si="13"/>
        <v>8.5898963686452695E-2</v>
      </c>
      <c r="O22" s="19"/>
      <c r="P22" s="64">
        <f t="shared" si="0"/>
        <v>0.63762815162177333</v>
      </c>
      <c r="Q22" s="12"/>
      <c r="R22" s="12">
        <v>1</v>
      </c>
      <c r="S22" s="12"/>
      <c r="T22" s="65">
        <f t="shared" si="1"/>
        <v>0.63762815162177333</v>
      </c>
      <c r="V22" s="55">
        <f t="shared" si="2"/>
        <v>368.63015310447753</v>
      </c>
      <c r="W22" s="11"/>
      <c r="X22" s="76">
        <f t="shared" si="3"/>
        <v>0.46536960597011445</v>
      </c>
      <c r="Y22" s="77"/>
      <c r="Z22" s="76">
        <f t="shared" si="4"/>
        <v>3.6315558309781948E-2</v>
      </c>
      <c r="AB22" s="74">
        <v>54.25261364</v>
      </c>
      <c r="AC22" s="2">
        <f t="shared" si="5"/>
        <v>26.786512989314577</v>
      </c>
      <c r="AD22" s="2">
        <f t="shared" si="6"/>
        <v>9.3712396962228189E-3</v>
      </c>
      <c r="AE22" s="57">
        <f t="shared" si="7"/>
        <v>0.25102283384885293</v>
      </c>
      <c r="AG22" s="89"/>
    </row>
    <row r="23" spans="1:33" x14ac:dyDescent="0.2">
      <c r="I23" s="56">
        <f t="shared" si="15"/>
        <v>16</v>
      </c>
      <c r="J23" s="19">
        <f t="shared" si="9"/>
        <v>0.38289288597511145</v>
      </c>
      <c r="K23" s="19">
        <f t="shared" si="10"/>
        <v>0.16231940704761111</v>
      </c>
      <c r="L23" s="19">
        <f t="shared" si="11"/>
        <v>0.21674120522425139</v>
      </c>
      <c r="M23" s="19">
        <f t="shared" si="12"/>
        <v>0.14251562337980841</v>
      </c>
      <c r="N23" s="85">
        <f t="shared" si="13"/>
        <v>9.5530878373217221E-2</v>
      </c>
      <c r="O23" s="19"/>
      <c r="P23" s="64">
        <f t="shared" si="0"/>
        <v>0.61878339180614084</v>
      </c>
      <c r="Q23" s="12"/>
      <c r="R23" s="12">
        <v>1</v>
      </c>
      <c r="S23" s="12"/>
      <c r="T23" s="65">
        <f t="shared" si="1"/>
        <v>0.61878339180614084</v>
      </c>
      <c r="V23" s="55">
        <f t="shared" si="2"/>
        <v>368.67226947450865</v>
      </c>
      <c r="W23" s="11"/>
      <c r="X23" s="76">
        <f t="shared" si="3"/>
        <v>0.4396389707588102</v>
      </c>
      <c r="Y23" s="77"/>
      <c r="Z23" s="76">
        <f t="shared" si="4"/>
        <v>3.6319707399265759E-2</v>
      </c>
      <c r="AB23" s="74">
        <v>53.265569534000001</v>
      </c>
      <c r="AC23" s="2">
        <f t="shared" si="5"/>
        <v>26.589754209190609</v>
      </c>
      <c r="AD23" s="2">
        <f t="shared" si="6"/>
        <v>9.6319146867645256E-3</v>
      </c>
      <c r="AE23" s="57">
        <f t="shared" si="7"/>
        <v>0.25611024408496191</v>
      </c>
      <c r="AG23" s="89"/>
    </row>
    <row r="24" spans="1:33" x14ac:dyDescent="0.2">
      <c r="I24" s="56">
        <f t="shared" si="15"/>
        <v>17</v>
      </c>
      <c r="J24" s="19">
        <f t="shared" si="9"/>
        <v>0.36059494017307775</v>
      </c>
      <c r="K24" s="19">
        <f t="shared" si="10"/>
        <v>0.15695181898440314</v>
      </c>
      <c r="L24" s="19">
        <f t="shared" si="11"/>
        <v>0.22702179436022765</v>
      </c>
      <c r="M24" s="19">
        <f t="shared" si="12"/>
        <v>0.15004825628012736</v>
      </c>
      <c r="N24" s="85">
        <f t="shared" si="13"/>
        <v>0.10538319020216369</v>
      </c>
      <c r="O24" s="19"/>
      <c r="P24" s="64">
        <f t="shared" si="0"/>
        <v>0.6004955788122659</v>
      </c>
      <c r="Q24" s="12"/>
      <c r="R24" s="12">
        <v>1</v>
      </c>
      <c r="S24" s="12"/>
      <c r="T24" s="65">
        <f t="shared" si="1"/>
        <v>0.6004955788122659</v>
      </c>
      <c r="V24" s="55">
        <f t="shared" si="2"/>
        <v>366.90004100136542</v>
      </c>
      <c r="W24" s="11"/>
      <c r="X24" s="76">
        <f t="shared" si="3"/>
        <v>0.41513256407922527</v>
      </c>
      <c r="Y24" s="77"/>
      <c r="Z24" s="76">
        <f t="shared" si="4"/>
        <v>3.6145116509419456E-2</v>
      </c>
      <c r="AB24" s="74">
        <v>52.278525428000002</v>
      </c>
      <c r="AC24" s="2">
        <f t="shared" si="5"/>
        <v>26.387082021408954</v>
      </c>
      <c r="AD24" s="2">
        <f t="shared" si="6"/>
        <v>9.8523118289464695E-3</v>
      </c>
      <c r="AE24" s="57">
        <f t="shared" si="7"/>
        <v>0.25997376033090813</v>
      </c>
      <c r="AG24" s="89"/>
    </row>
    <row r="25" spans="1:33" x14ac:dyDescent="0.2">
      <c r="I25" s="56">
        <f t="shared" si="15"/>
        <v>18</v>
      </c>
      <c r="J25" s="19">
        <f t="shared" si="9"/>
        <v>0.33959552564493861</v>
      </c>
      <c r="K25" s="19">
        <f t="shared" si="10"/>
        <v>0.15132778494732768</v>
      </c>
      <c r="L25" s="19">
        <f t="shared" si="11"/>
        <v>0.23625168091664045</v>
      </c>
      <c r="M25" s="19">
        <f t="shared" si="12"/>
        <v>0.15740696603407617</v>
      </c>
      <c r="N25" s="85">
        <f t="shared" si="13"/>
        <v>0.11541804245701666</v>
      </c>
      <c r="O25" s="19"/>
      <c r="P25" s="64">
        <f t="shared" si="0"/>
        <v>0.58274825237398964</v>
      </c>
      <c r="Q25" s="12"/>
      <c r="R25" s="12">
        <v>1</v>
      </c>
      <c r="S25" s="12"/>
      <c r="T25" s="65">
        <f t="shared" si="1"/>
        <v>0.58274825237398964</v>
      </c>
      <c r="V25" s="55">
        <f t="shared" si="2"/>
        <v>363.53651056286145</v>
      </c>
      <c r="W25" s="11"/>
      <c r="X25" s="76">
        <f t="shared" si="3"/>
        <v>0.39181560452628417</v>
      </c>
      <c r="Y25" s="77"/>
      <c r="Z25" s="76">
        <f t="shared" si="4"/>
        <v>3.5813758684408337E-2</v>
      </c>
      <c r="AB25" s="74">
        <v>51.291481322000003</v>
      </c>
      <c r="AC25" s="2">
        <f t="shared" si="5"/>
        <v>26.178318703836414</v>
      </c>
      <c r="AD25" s="2">
        <f t="shared" si="6"/>
        <v>1.0034852254852969E-2</v>
      </c>
      <c r="AE25" s="57">
        <f t="shared" si="7"/>
        <v>0.26269556047345249</v>
      </c>
      <c r="AG25" s="89"/>
    </row>
    <row r="26" spans="1:33" x14ac:dyDescent="0.2">
      <c r="I26" s="56">
        <f t="shared" si="15"/>
        <v>19</v>
      </c>
      <c r="J26" s="19">
        <f t="shared" si="9"/>
        <v>0.31981902181630334</v>
      </c>
      <c r="K26" s="19">
        <f t="shared" si="10"/>
        <v>0.1455415005230366</v>
      </c>
      <c r="L26" s="19">
        <f t="shared" si="11"/>
        <v>0.24444764995742937</v>
      </c>
      <c r="M26" s="19">
        <f t="shared" si="12"/>
        <v>0.1645918455537147</v>
      </c>
      <c r="N26" s="85">
        <f t="shared" si="13"/>
        <v>0.12559998214951551</v>
      </c>
      <c r="O26" s="19"/>
      <c r="P26" s="64">
        <f t="shared" si="0"/>
        <v>0.56552543869953709</v>
      </c>
      <c r="Q26" s="12"/>
      <c r="R26" s="12">
        <v>1</v>
      </c>
      <c r="S26" s="12"/>
      <c r="T26" s="65">
        <f t="shared" si="1"/>
        <v>0.56552543869953709</v>
      </c>
      <c r="V26" s="55">
        <f t="shared" si="2"/>
        <v>358.79014989477145</v>
      </c>
      <c r="W26" s="11"/>
      <c r="X26" s="76">
        <f t="shared" si="3"/>
        <v>0.36965093408778388</v>
      </c>
      <c r="Y26" s="77"/>
      <c r="Z26" s="76">
        <f t="shared" si="4"/>
        <v>3.5346171493969181E-2</v>
      </c>
      <c r="AB26" s="74">
        <v>50.304437215999997</v>
      </c>
      <c r="AC26" s="2">
        <f t="shared" si="5"/>
        <v>25.963281193061409</v>
      </c>
      <c r="AD26" s="2">
        <f t="shared" si="6"/>
        <v>1.0181939692498851E-2</v>
      </c>
      <c r="AE26" s="57">
        <f t="shared" si="7"/>
        <v>0.26435656332714086</v>
      </c>
      <c r="AG26" s="89"/>
    </row>
    <row r="27" spans="1:33" x14ac:dyDescent="0.2">
      <c r="I27" s="56">
        <f t="shared" si="15"/>
        <v>20</v>
      </c>
      <c r="J27" s="19">
        <f t="shared" si="9"/>
        <v>0.30119421191220153</v>
      </c>
      <c r="K27" s="19">
        <f t="shared" si="10"/>
        <v>0.13967063530241033</v>
      </c>
      <c r="L27" s="19">
        <f t="shared" si="11"/>
        <v>0.25163590386560575</v>
      </c>
      <c r="M27" s="19">
        <f t="shared" si="12"/>
        <v>0.17160332776487719</v>
      </c>
      <c r="N27" s="85">
        <f t="shared" si="13"/>
        <v>0.13589592115490473</v>
      </c>
      <c r="O27" s="19"/>
      <c r="P27" s="64">
        <f t="shared" si="0"/>
        <v>0.54881163609402639</v>
      </c>
      <c r="Q27" s="12"/>
      <c r="R27" s="12">
        <v>1</v>
      </c>
      <c r="S27" s="12"/>
      <c r="T27" s="65">
        <f t="shared" si="1"/>
        <v>0.54881163609402639</v>
      </c>
      <c r="V27" s="55">
        <f t="shared" si="2"/>
        <v>352.8542940755724</v>
      </c>
      <c r="W27" s="11"/>
      <c r="X27" s="76">
        <f t="shared" si="3"/>
        <v>0.34859968428284954</v>
      </c>
      <c r="Y27" s="77"/>
      <c r="Z27" s="76">
        <f t="shared" si="4"/>
        <v>3.4761401321737814E-2</v>
      </c>
      <c r="AB27" s="74">
        <v>49.317393109999998</v>
      </c>
      <c r="AC27" s="2">
        <f t="shared" si="5"/>
        <v>25.741780923866642</v>
      </c>
      <c r="AD27" s="2">
        <f t="shared" si="6"/>
        <v>1.0295939005389221E-2</v>
      </c>
      <c r="AE27" s="57">
        <f t="shared" si="7"/>
        <v>0.26503580628222273</v>
      </c>
      <c r="AG27" s="89"/>
    </row>
    <row r="28" spans="1:33" x14ac:dyDescent="0.2">
      <c r="I28" s="56">
        <f t="shared" si="15"/>
        <v>21</v>
      </c>
      <c r="J28" s="19">
        <f t="shared" si="9"/>
        <v>0.28365402649976978</v>
      </c>
      <c r="K28" s="19">
        <f t="shared" si="10"/>
        <v>0.13377883312929478</v>
      </c>
      <c r="L28" s="19">
        <f t="shared" si="11"/>
        <v>0.25784990093888582</v>
      </c>
      <c r="M28" s="19">
        <f t="shared" si="12"/>
        <v>0.17844215895866697</v>
      </c>
      <c r="N28" s="85">
        <f t="shared" si="13"/>
        <v>0.14627508047338211</v>
      </c>
      <c r="O28" s="19"/>
      <c r="P28" s="64">
        <f t="shared" si="0"/>
        <v>0.53259180100689718</v>
      </c>
      <c r="Q28" s="12"/>
      <c r="R28" s="12">
        <v>1</v>
      </c>
      <c r="S28" s="12"/>
      <c r="T28" s="65">
        <f t="shared" si="1"/>
        <v>0.53259180100689718</v>
      </c>
      <c r="V28" s="55">
        <f t="shared" si="2"/>
        <v>345.90699593391469</v>
      </c>
      <c r="W28" s="11"/>
      <c r="X28" s="76">
        <f t="shared" si="3"/>
        <v>0.32862183753004914</v>
      </c>
      <c r="Y28" s="77"/>
      <c r="Z28" s="76">
        <f t="shared" si="4"/>
        <v>3.4076989022217369E-2</v>
      </c>
      <c r="AB28" s="74">
        <v>48.340578602000001</v>
      </c>
      <c r="AC28" s="2">
        <f t="shared" si="5"/>
        <v>25.516023070275882</v>
      </c>
      <c r="AD28" s="2">
        <f t="shared" si="6"/>
        <v>1.0379159318477382E-2</v>
      </c>
      <c r="AE28" s="57">
        <f t="shared" si="7"/>
        <v>0.26483486862033778</v>
      </c>
      <c r="AG28" s="89"/>
    </row>
    <row r="29" spans="1:33" x14ac:dyDescent="0.2">
      <c r="I29" s="56">
        <f t="shared" si="15"/>
        <v>22</v>
      </c>
      <c r="J29" s="19">
        <f t="shared" si="9"/>
        <v>0.26713530196584978</v>
      </c>
      <c r="K29" s="19">
        <f t="shared" si="10"/>
        <v>0.12791785253589485</v>
      </c>
      <c r="L29" s="19">
        <f t="shared" si="11"/>
        <v>0.26312855100374483</v>
      </c>
      <c r="M29" s="19">
        <f t="shared" si="12"/>
        <v>0.18510937303054997</v>
      </c>
      <c r="N29" s="85">
        <f t="shared" si="13"/>
        <v>0.15670892146396001</v>
      </c>
      <c r="O29" s="19"/>
      <c r="P29" s="64">
        <f t="shared" si="0"/>
        <v>0.51685133449169929</v>
      </c>
      <c r="Q29" s="12"/>
      <c r="R29" s="12">
        <v>1</v>
      </c>
      <c r="S29" s="12"/>
      <c r="T29" s="65">
        <f t="shared" si="1"/>
        <v>0.51685133449169929</v>
      </c>
      <c r="V29" s="55">
        <f t="shared" si="2"/>
        <v>338.11119824679503</v>
      </c>
      <c r="W29" s="11"/>
      <c r="X29" s="76">
        <f t="shared" si="3"/>
        <v>0.30967669864327979</v>
      </c>
      <c r="Y29" s="77"/>
      <c r="Z29" s="76">
        <f t="shared" si="4"/>
        <v>3.3308986884862044E-2</v>
      </c>
      <c r="AB29" s="74">
        <v>47.363764093999997</v>
      </c>
      <c r="AC29" s="2">
        <f t="shared" si="5"/>
        <v>25.283551621664117</v>
      </c>
      <c r="AD29" s="2">
        <f t="shared" si="6"/>
        <v>1.0433840990577897E-2</v>
      </c>
      <c r="AE29" s="57">
        <f t="shared" si="7"/>
        <v>0.26380455729751134</v>
      </c>
      <c r="AG29" s="89"/>
    </row>
    <row r="30" spans="1:33" x14ac:dyDescent="0.2">
      <c r="I30" s="56">
        <f t="shared" si="15"/>
        <v>23</v>
      </c>
      <c r="J30" s="19">
        <f t="shared" si="9"/>
        <v>0.2515785530597559</v>
      </c>
      <c r="K30" s="19">
        <f t="shared" si="10"/>
        <v>0.12212939815649385</v>
      </c>
      <c r="L30" s="19">
        <f t="shared" si="11"/>
        <v>0.26751471480589134</v>
      </c>
      <c r="M30" s="19">
        <f t="shared" si="12"/>
        <v>0.19160626671133454</v>
      </c>
      <c r="N30" s="85">
        <f t="shared" si="13"/>
        <v>0.16717106726652375</v>
      </c>
      <c r="O30" s="19"/>
      <c r="P30" s="64">
        <f t="shared" si="0"/>
        <v>0.50157606906605556</v>
      </c>
      <c r="Q30" s="12"/>
      <c r="R30" s="12">
        <v>1</v>
      </c>
      <c r="S30" s="12"/>
      <c r="T30" s="65">
        <f t="shared" si="1"/>
        <v>0.50157606906605556</v>
      </c>
      <c r="V30" s="55">
        <f t="shared" si="2"/>
        <v>329.61514158406919</v>
      </c>
      <c r="W30" s="11"/>
      <c r="X30" s="76">
        <f t="shared" si="3"/>
        <v>0.29172328923327168</v>
      </c>
      <c r="Y30" s="77"/>
      <c r="Z30" s="76">
        <f t="shared" si="4"/>
        <v>3.2471998812833698E-2</v>
      </c>
      <c r="AB30" s="74">
        <v>46.386949586</v>
      </c>
      <c r="AC30" s="2">
        <f t="shared" si="5"/>
        <v>25.044166928905561</v>
      </c>
      <c r="AD30" s="2">
        <f t="shared" si="6"/>
        <v>1.0462145802563744E-2</v>
      </c>
      <c r="AE30" s="57">
        <f t="shared" si="7"/>
        <v>0.26201572591395506</v>
      </c>
      <c r="AG30" s="89"/>
    </row>
    <row r="31" spans="1:33" x14ac:dyDescent="0.2">
      <c r="I31" s="56">
        <f t="shared" si="15"/>
        <v>24</v>
      </c>
      <c r="J31" s="19">
        <f t="shared" si="9"/>
        <v>0.23692775868212115</v>
      </c>
      <c r="K31" s="19">
        <f t="shared" si="10"/>
        <v>0.11644668679712751</v>
      </c>
      <c r="L31" s="19">
        <f t="shared" si="11"/>
        <v>0.27105396156583439</v>
      </c>
      <c r="M31" s="19">
        <f t="shared" si="12"/>
        <v>0.19793437586403775</v>
      </c>
      <c r="N31" s="85">
        <f t="shared" si="13"/>
        <v>0.17763721709087854</v>
      </c>
      <c r="O31" s="19"/>
      <c r="P31" s="64">
        <f t="shared" si="0"/>
        <v>0.48675225595997168</v>
      </c>
      <c r="Q31" s="12"/>
      <c r="R31" s="12">
        <v>1</v>
      </c>
      <c r="S31" s="12"/>
      <c r="T31" s="65">
        <f t="shared" si="1"/>
        <v>0.48675225595997168</v>
      </c>
      <c r="V31" s="55">
        <f t="shared" si="2"/>
        <v>320.55294205568077</v>
      </c>
      <c r="W31" s="11"/>
      <c r="X31" s="76">
        <f t="shared" si="3"/>
        <v>0.27472067598399585</v>
      </c>
      <c r="Y31" s="77"/>
      <c r="Z31" s="76">
        <f t="shared" si="4"/>
        <v>3.1579237239705425E-2</v>
      </c>
      <c r="AB31" s="74">
        <v>45.410135078000003</v>
      </c>
      <c r="AC31" s="2">
        <f t="shared" si="5"/>
        <v>24.797663405701709</v>
      </c>
      <c r="AD31" s="2">
        <f t="shared" si="6"/>
        <v>1.0466149824354787E-2</v>
      </c>
      <c r="AE31" s="57">
        <f t="shared" si="7"/>
        <v>0.25953606049799405</v>
      </c>
      <c r="AG31" s="89"/>
    </row>
    <row r="32" spans="1:33" x14ac:dyDescent="0.2">
      <c r="I32" s="56">
        <f t="shared" si="15"/>
        <v>25</v>
      </c>
      <c r="J32" s="19">
        <f t="shared" si="9"/>
        <v>0.22313016014842924</v>
      </c>
      <c r="K32" s="19">
        <f t="shared" si="10"/>
        <v>0.11089578571801169</v>
      </c>
      <c r="L32" s="19">
        <f t="shared" si="11"/>
        <v>0.27379354564311231</v>
      </c>
      <c r="M32" s="19">
        <f t="shared" si="12"/>
        <v>0.20409545289558492</v>
      </c>
      <c r="N32" s="85">
        <f t="shared" si="13"/>
        <v>0.18808505559486124</v>
      </c>
      <c r="O32" s="19"/>
      <c r="P32" s="64">
        <f t="shared" si="0"/>
        <v>0.47236655274101469</v>
      </c>
      <c r="Q32" s="12"/>
      <c r="R32" s="12">
        <v>1</v>
      </c>
      <c r="S32" s="12"/>
      <c r="T32" s="65">
        <f t="shared" si="1"/>
        <v>0.47236655274101469</v>
      </c>
      <c r="V32" s="55">
        <f t="shared" si="2"/>
        <v>311.04528664947668</v>
      </c>
      <c r="W32" s="11"/>
      <c r="X32" s="76">
        <f t="shared" si="3"/>
        <v>0.2586282422288726</v>
      </c>
      <c r="Y32" s="77"/>
      <c r="Z32" s="76">
        <f t="shared" si="4"/>
        <v>3.0642591630588748E-2</v>
      </c>
      <c r="AB32" s="74">
        <v>44.433320569999999</v>
      </c>
      <c r="AC32" s="2">
        <f t="shared" si="5"/>
        <v>24.543829352021412</v>
      </c>
      <c r="AD32" s="2">
        <f t="shared" si="6"/>
        <v>1.0447838503982704E-2</v>
      </c>
      <c r="AE32" s="57">
        <f t="shared" si="7"/>
        <v>0.25642996533923018</v>
      </c>
      <c r="AG32" s="89"/>
    </row>
    <row r="33" spans="9:33" x14ac:dyDescent="0.2">
      <c r="I33" s="56">
        <f t="shared" si="15"/>
        <v>26</v>
      </c>
      <c r="J33" s="19">
        <f t="shared" si="9"/>
        <v>0.21013607120076416</v>
      </c>
      <c r="K33" s="19">
        <f t="shared" si="10"/>
        <v>0.10549675541942258</v>
      </c>
      <c r="L33" s="19">
        <f t="shared" si="11"/>
        <v>0.27578156888249022</v>
      </c>
      <c r="M33" s="19">
        <f t="shared" si="12"/>
        <v>0.21009144531167842</v>
      </c>
      <c r="N33" s="85">
        <f t="shared" si="13"/>
        <v>0.19849415918564406</v>
      </c>
      <c r="O33" s="19"/>
      <c r="P33" s="64">
        <f t="shared" si="0"/>
        <v>0.45840601130522352</v>
      </c>
      <c r="Q33" s="12"/>
      <c r="R33" s="12">
        <v>1</v>
      </c>
      <c r="S33" s="12"/>
      <c r="T33" s="65">
        <f t="shared" si="1"/>
        <v>0.45840601130522352</v>
      </c>
      <c r="V33" s="55">
        <f t="shared" si="2"/>
        <v>301.20020482329841</v>
      </c>
      <c r="W33" s="11"/>
      <c r="X33" s="76">
        <f t="shared" si="3"/>
        <v>0.24340591093141525</v>
      </c>
      <c r="Y33" s="77"/>
      <c r="Z33" s="76">
        <f t="shared" si="4"/>
        <v>2.9672704495442157E-2</v>
      </c>
      <c r="AB33" s="74">
        <v>43.473604029999997</v>
      </c>
      <c r="AC33" s="2">
        <f t="shared" si="5"/>
        <v>24.287088134884517</v>
      </c>
      <c r="AD33" s="2">
        <f t="shared" si="6"/>
        <v>1.0409103590782814E-2</v>
      </c>
      <c r="AE33" s="57">
        <f t="shared" si="7"/>
        <v>0.25280681631448509</v>
      </c>
      <c r="AG33" s="89"/>
    </row>
    <row r="34" spans="9:33" x14ac:dyDescent="0.2">
      <c r="I34" s="56">
        <f t="shared" si="15"/>
        <v>27</v>
      </c>
      <c r="J34" s="19">
        <f t="shared" si="9"/>
        <v>0.19789869908361413</v>
      </c>
      <c r="K34" s="19">
        <f t="shared" si="10"/>
        <v>0.10026462469117857</v>
      </c>
      <c r="L34" s="19">
        <f t="shared" si="11"/>
        <v>0.27706630004959931</v>
      </c>
      <c r="M34" s="19">
        <f t="shared" si="12"/>
        <v>0.21592447542632456</v>
      </c>
      <c r="N34" s="85">
        <f t="shared" si="13"/>
        <v>0.20884590074928289</v>
      </c>
      <c r="O34" s="19"/>
      <c r="P34" s="64">
        <f t="shared" si="0"/>
        <v>0.44485806622294116</v>
      </c>
      <c r="Q34" s="12"/>
      <c r="R34" s="12">
        <v>1</v>
      </c>
      <c r="S34" s="12"/>
      <c r="T34" s="65">
        <f t="shared" si="1"/>
        <v>0.44485806622294116</v>
      </c>
      <c r="V34" s="55">
        <f t="shared" si="2"/>
        <v>291.11388396190654</v>
      </c>
      <c r="W34" s="11"/>
      <c r="X34" s="76">
        <f t="shared" si="3"/>
        <v>0.22901432604501257</v>
      </c>
      <c r="Y34" s="77"/>
      <c r="Z34" s="76">
        <f t="shared" si="4"/>
        <v>2.8679051723718863E-2</v>
      </c>
      <c r="AB34" s="74">
        <v>42.513887490000002</v>
      </c>
      <c r="AC34" s="2">
        <f t="shared" si="5"/>
        <v>24.022847512466388</v>
      </c>
      <c r="AD34" s="2">
        <f t="shared" si="6"/>
        <v>1.0351741563638828E-2</v>
      </c>
      <c r="AE34" s="57">
        <f t="shared" si="7"/>
        <v>0.24867830907175592</v>
      </c>
      <c r="AG34" s="89"/>
    </row>
    <row r="35" spans="9:33" x14ac:dyDescent="0.2">
      <c r="I35" s="56">
        <f t="shared" si="15"/>
        <v>28</v>
      </c>
      <c r="J35" s="19">
        <f t="shared" si="9"/>
        <v>0.18637397603940942</v>
      </c>
      <c r="K35" s="19">
        <f t="shared" si="10"/>
        <v>9.5210221788295829E-2</v>
      </c>
      <c r="L35" s="19">
        <f t="shared" si="11"/>
        <v>0.27769562691357602</v>
      </c>
      <c r="M35" s="19">
        <f t="shared" si="12"/>
        <v>0.22159682122384539</v>
      </c>
      <c r="N35" s="85">
        <f t="shared" si="13"/>
        <v>0.21912335403487276</v>
      </c>
      <c r="O35" s="19"/>
      <c r="P35" s="64">
        <f t="shared" si="0"/>
        <v>0.43171052342907973</v>
      </c>
      <c r="Q35" s="12"/>
      <c r="R35" s="12">
        <v>1</v>
      </c>
      <c r="S35" s="12"/>
      <c r="T35" s="65">
        <f t="shared" si="1"/>
        <v>0.43171052342907973</v>
      </c>
      <c r="V35" s="55">
        <f t="shared" si="2"/>
        <v>280.87150358167662</v>
      </c>
      <c r="W35" s="11"/>
      <c r="X35" s="76">
        <f t="shared" si="3"/>
        <v>0.21541499825841603</v>
      </c>
      <c r="Y35" s="77"/>
      <c r="Z35" s="76">
        <f t="shared" si="4"/>
        <v>2.7670024765949121E-2</v>
      </c>
      <c r="AB35" s="74">
        <v>41.55417095</v>
      </c>
      <c r="AC35" s="2">
        <f t="shared" si="5"/>
        <v>23.75088842730441</v>
      </c>
      <c r="AD35" s="2">
        <f t="shared" si="6"/>
        <v>1.0277453285589877E-2</v>
      </c>
      <c r="AE35" s="57">
        <f t="shared" si="7"/>
        <v>0.24409864630287831</v>
      </c>
      <c r="AG35" s="89"/>
    </row>
    <row r="36" spans="9:33" x14ac:dyDescent="0.2">
      <c r="I36" s="56">
        <f t="shared" si="15"/>
        <v>29</v>
      </c>
      <c r="J36" s="19">
        <f t="shared" si="9"/>
        <v>0.17552040061699634</v>
      </c>
      <c r="K36" s="19">
        <f t="shared" si="10"/>
        <v>9.0340882242509551E-2</v>
      </c>
      <c r="L36" s="19">
        <f t="shared" si="11"/>
        <v>0.27771662009619441</v>
      </c>
      <c r="M36" s="19">
        <f t="shared" si="12"/>
        <v>0.22711089836022777</v>
      </c>
      <c r="N36" s="85">
        <f t="shared" si="13"/>
        <v>0.22931119868407132</v>
      </c>
      <c r="O36" s="19"/>
      <c r="P36" s="64">
        <f t="shared" si="0"/>
        <v>0.418951549247639</v>
      </c>
      <c r="Q36" s="12"/>
      <c r="R36" s="12">
        <v>1</v>
      </c>
      <c r="S36" s="12"/>
      <c r="T36" s="65">
        <f t="shared" si="1"/>
        <v>0.418951549247639</v>
      </c>
      <c r="V36" s="55">
        <f t="shared" si="2"/>
        <v>270.54806905813518</v>
      </c>
      <c r="W36" s="11"/>
      <c r="X36" s="76">
        <f t="shared" si="3"/>
        <v>0.20257042030305478</v>
      </c>
      <c r="Y36" s="77"/>
      <c r="Z36" s="76">
        <f t="shared" si="4"/>
        <v>2.6653012768315189E-2</v>
      </c>
      <c r="AB36" s="74">
        <v>40.594454409999997</v>
      </c>
      <c r="AC36" s="2">
        <f t="shared" si="5"/>
        <v>23.470985423272339</v>
      </c>
      <c r="AD36" s="2">
        <f t="shared" si="6"/>
        <v>1.0187844649198557E-2</v>
      </c>
      <c r="AE36" s="57">
        <f t="shared" si="7"/>
        <v>0.23911875325590243</v>
      </c>
      <c r="AG36" s="89"/>
    </row>
    <row r="37" spans="9:33" x14ac:dyDescent="0.2">
      <c r="I37" s="56">
        <f t="shared" si="15"/>
        <v>30</v>
      </c>
      <c r="J37" s="19">
        <f t="shared" si="9"/>
        <v>0.165298888221586</v>
      </c>
      <c r="K37" s="19">
        <f t="shared" si="10"/>
        <v>8.566105093519133E-2</v>
      </c>
      <c r="L37" s="19">
        <f t="shared" si="11"/>
        <v>0.27717519086328823</v>
      </c>
      <c r="M37" s="19">
        <f t="shared" si="12"/>
        <v>0.23246924328195429</v>
      </c>
      <c r="N37" s="85">
        <f t="shared" si="13"/>
        <v>0.23939562669797948</v>
      </c>
      <c r="O37" s="19"/>
      <c r="P37" s="64">
        <f t="shared" si="0"/>
        <v>0.40656965974059917</v>
      </c>
      <c r="Q37" s="12"/>
      <c r="R37" s="12">
        <v>1</v>
      </c>
      <c r="S37" s="12"/>
      <c r="T37" s="65">
        <f t="shared" si="1"/>
        <v>0.40656965974059917</v>
      </c>
      <c r="V37" s="55">
        <f t="shared" si="2"/>
        <v>260.2092304073883</v>
      </c>
      <c r="W37" s="11"/>
      <c r="X37" s="76">
        <f t="shared" si="3"/>
        <v>0.19044415628516348</v>
      </c>
      <c r="Y37" s="77"/>
      <c r="Z37" s="76">
        <f t="shared" si="4"/>
        <v>2.5634483234812239E-2</v>
      </c>
      <c r="AB37" s="74">
        <v>39.634737870000002</v>
      </c>
      <c r="AC37" s="2">
        <f t="shared" si="5"/>
        <v>23.182906458675454</v>
      </c>
      <c r="AD37" s="2">
        <f t="shared" si="6"/>
        <v>1.0084428013908159E-2</v>
      </c>
      <c r="AE37" s="57">
        <f t="shared" si="7"/>
        <v>0.23378635133567913</v>
      </c>
      <c r="AG37" s="89"/>
    </row>
    <row r="38" spans="9:33" x14ac:dyDescent="0.2">
      <c r="I38" s="56">
        <f t="shared" si="15"/>
        <v>31</v>
      </c>
      <c r="J38" s="19">
        <f t="shared" si="9"/>
        <v>0.15567263036799678</v>
      </c>
      <c r="K38" s="19">
        <f t="shared" si="10"/>
        <v>8.1172793576363297E-2</v>
      </c>
      <c r="L38" s="19">
        <f t="shared" si="11"/>
        <v>0.2761158276559309</v>
      </c>
      <c r="M38" s="19">
        <f t="shared" si="12"/>
        <v>0.23767449743365468</v>
      </c>
      <c r="N38" s="85">
        <f t="shared" si="13"/>
        <v>0.24936425096605366</v>
      </c>
      <c r="O38" s="19"/>
      <c r="P38" s="64">
        <f t="shared" si="0"/>
        <v>0.39455371037160114</v>
      </c>
      <c r="Q38" s="12"/>
      <c r="R38" s="12">
        <v>1</v>
      </c>
      <c r="S38" s="12"/>
      <c r="T38" s="65">
        <f t="shared" si="1"/>
        <v>0.39455371037160114</v>
      </c>
      <c r="V38" s="55">
        <f t="shared" si="2"/>
        <v>249.91207547472843</v>
      </c>
      <c r="W38" s="11"/>
      <c r="X38" s="76">
        <f t="shared" si="3"/>
        <v>0.17900090889262149</v>
      </c>
      <c r="Y38" s="77"/>
      <c r="Z38" s="76">
        <f t="shared" si="4"/>
        <v>2.4620060168135199E-2</v>
      </c>
      <c r="AB38" s="74">
        <v>38.690766486000001</v>
      </c>
      <c r="AC38" s="2">
        <f t="shared" si="5"/>
        <v>22.89134620046298</v>
      </c>
      <c r="AD38" s="2">
        <f t="shared" si="6"/>
        <v>9.9686242680741832E-3</v>
      </c>
      <c r="AE38" s="57">
        <f t="shared" si="7"/>
        <v>0.22819522926282301</v>
      </c>
      <c r="AG38" s="89"/>
    </row>
    <row r="39" spans="9:33" x14ac:dyDescent="0.2">
      <c r="I39" s="56">
        <f t="shared" si="15"/>
        <v>32</v>
      </c>
      <c r="J39" s="19">
        <f t="shared" si="9"/>
        <v>0.14660696213034963</v>
      </c>
      <c r="K39" s="19">
        <f t="shared" si="10"/>
        <v>7.6876230600739018E-2</v>
      </c>
      <c r="L39" s="19">
        <f t="shared" si="11"/>
        <v>0.27458139840695006</v>
      </c>
      <c r="M39" s="19">
        <f t="shared" si="12"/>
        <v>0.24272939252070691</v>
      </c>
      <c r="N39" s="85">
        <f t="shared" si="13"/>
        <v>0.25920601634125368</v>
      </c>
      <c r="O39" s="19"/>
      <c r="P39" s="64">
        <f t="shared" ref="P39:P66" si="16">EXP(-r_Delta_t * I39)</f>
        <v>0.38289288597511206</v>
      </c>
      <c r="Q39" s="12"/>
      <c r="R39" s="12">
        <v>1</v>
      </c>
      <c r="S39" s="12"/>
      <c r="T39" s="65">
        <f t="shared" si="1"/>
        <v>0.38289288597511206</v>
      </c>
      <c r="V39" s="55">
        <f t="shared" si="2"/>
        <v>239.7058899398435</v>
      </c>
      <c r="W39" s="11"/>
      <c r="X39" s="76">
        <f t="shared" si="3"/>
        <v>0.16820656779875379</v>
      </c>
      <c r="Y39" s="77"/>
      <c r="Z39" s="76">
        <f t="shared" si="4"/>
        <v>2.3614598941507005E-2</v>
      </c>
      <c r="AB39" s="74">
        <v>37.746795102</v>
      </c>
      <c r="AC39" s="2">
        <f t="shared" ref="AC39:AC66" si="17">(1/r_ann)*(1-EXP(-r_ann*AB39))</f>
        <v>22.591411182723778</v>
      </c>
      <c r="AD39" s="2">
        <f t="shared" si="6"/>
        <v>9.8417653752000123E-3</v>
      </c>
      <c r="AE39" s="57">
        <f t="shared" si="7"/>
        <v>0.22233936835503723</v>
      </c>
      <c r="AG39" s="89"/>
    </row>
    <row r="40" spans="9:33" x14ac:dyDescent="0.2">
      <c r="I40" s="56">
        <f t="shared" si="15"/>
        <v>33</v>
      </c>
      <c r="J40" s="19">
        <f t="shared" si="9"/>
        <v>0.13806923731089232</v>
      </c>
      <c r="K40" s="19">
        <f t="shared" si="10"/>
        <v>7.2769904656578219E-2</v>
      </c>
      <c r="L40" s="19">
        <f t="shared" si="11"/>
        <v>0.27261300761543522</v>
      </c>
      <c r="M40" s="19">
        <f t="shared" si="12"/>
        <v>0.24763673678903969</v>
      </c>
      <c r="N40" s="85">
        <f t="shared" si="13"/>
        <v>0.26891111362805387</v>
      </c>
      <c r="O40" s="19"/>
      <c r="P40" s="64">
        <f t="shared" si="16"/>
        <v>0.37157669102204571</v>
      </c>
      <c r="Q40" s="12"/>
      <c r="R40" s="12">
        <v>1</v>
      </c>
      <c r="S40" s="12"/>
      <c r="T40" s="65">
        <f t="shared" si="1"/>
        <v>0.37157669102204571</v>
      </c>
      <c r="V40" s="55">
        <f t="shared" si="2"/>
        <v>229.63287897690341</v>
      </c>
      <c r="W40" s="11"/>
      <c r="X40" s="76">
        <f t="shared" si="3"/>
        <v>0.15802824213073491</v>
      </c>
      <c r="Y40" s="77"/>
      <c r="Z40" s="76">
        <f t="shared" si="4"/>
        <v>2.262225739294127E-2</v>
      </c>
      <c r="AB40" s="74">
        <v>36.802823717999999</v>
      </c>
      <c r="AC40" s="2">
        <f t="shared" si="17"/>
        <v>22.282860849362983</v>
      </c>
      <c r="AD40" s="2">
        <f t="shared" ref="AD40:AD66" si="18">N40-N39</f>
        <v>9.7050972868001906E-3</v>
      </c>
      <c r="AE40" s="57">
        <f t="shared" si="7"/>
        <v>0.21625733237129888</v>
      </c>
      <c r="AG40" s="89"/>
    </row>
    <row r="41" spans="9:33" x14ac:dyDescent="0.2">
      <c r="I41" s="56">
        <f t="shared" si="15"/>
        <v>34</v>
      </c>
      <c r="J41" s="19">
        <f t="shared" si="9"/>
        <v>0.13002871087842544</v>
      </c>
      <c r="K41" s="19">
        <f t="shared" si="10"/>
        <v>6.8851091284950205E-2</v>
      </c>
      <c r="L41" s="19">
        <f t="shared" si="11"/>
        <v>0.27024989880313594</v>
      </c>
      <c r="M41" s="19">
        <f t="shared" si="12"/>
        <v>0.25239940228161911</v>
      </c>
      <c r="N41" s="85">
        <f t="shared" si="13"/>
        <v>0.27847089675186859</v>
      </c>
      <c r="O41" s="19"/>
      <c r="P41" s="64">
        <f t="shared" si="16"/>
        <v>0.3605949401730783</v>
      </c>
      <c r="Q41" s="12"/>
      <c r="R41" s="12">
        <v>1</v>
      </c>
      <c r="S41" s="12"/>
      <c r="T41" s="65">
        <f t="shared" si="1"/>
        <v>0.3605949401730783</v>
      </c>
      <c r="V41" s="55">
        <f t="shared" si="2"/>
        <v>219.72884732414227</v>
      </c>
      <c r="W41" s="11"/>
      <c r="X41" s="76">
        <f t="shared" si="3"/>
        <v>0.14843427947815652</v>
      </c>
      <c r="Y41" s="77"/>
      <c r="Z41" s="76">
        <f t="shared" si="4"/>
        <v>2.1646562822221129E-2</v>
      </c>
      <c r="AB41" s="74">
        <v>35.858852333999998</v>
      </c>
      <c r="AC41" s="2">
        <f t="shared" si="17"/>
        <v>21.965447734566784</v>
      </c>
      <c r="AD41" s="2">
        <f t="shared" si="18"/>
        <v>9.5597831238147246E-3</v>
      </c>
      <c r="AE41" s="57">
        <f t="shared" si="7"/>
        <v>0.20998491655994592</v>
      </c>
      <c r="AG41" s="89"/>
    </row>
    <row r="42" spans="9:33" x14ac:dyDescent="0.2">
      <c r="I42" s="56">
        <f t="shared" si="15"/>
        <v>35</v>
      </c>
      <c r="J42" s="19">
        <f t="shared" si="9"/>
        <v>0.12245642825298145</v>
      </c>
      <c r="K42" s="19">
        <f t="shared" si="10"/>
        <v>6.5116061029889219E-2</v>
      </c>
      <c r="L42" s="19">
        <f t="shared" si="11"/>
        <v>0.26752939439091494</v>
      </c>
      <c r="M42" s="19">
        <f t="shared" si="12"/>
        <v>0.25702031302925216</v>
      </c>
      <c r="N42" s="85">
        <f t="shared" si="13"/>
        <v>0.28787780329696144</v>
      </c>
      <c r="O42" s="19"/>
      <c r="P42" s="64">
        <f t="shared" si="16"/>
        <v>0.34993774911115533</v>
      </c>
      <c r="Q42" s="12"/>
      <c r="R42" s="12">
        <v>1</v>
      </c>
      <c r="S42" s="12"/>
      <c r="T42" s="65">
        <f t="shared" si="1"/>
        <v>0.34993774911115533</v>
      </c>
      <c r="V42" s="55">
        <f t="shared" si="2"/>
        <v>210.0238360162387</v>
      </c>
      <c r="W42" s="11"/>
      <c r="X42" s="76">
        <f t="shared" si="3"/>
        <v>0.13939427357881673</v>
      </c>
      <c r="Y42" s="77"/>
      <c r="Z42" s="76">
        <f t="shared" si="4"/>
        <v>2.0690474718518505E-2</v>
      </c>
      <c r="AB42" s="74">
        <v>34.914880949999997</v>
      </c>
      <c r="AC42" s="2">
        <f t="shared" si="17"/>
        <v>21.638917264328018</v>
      </c>
      <c r="AD42" s="2">
        <f t="shared" si="18"/>
        <v>9.4069065450928524E-3</v>
      </c>
      <c r="AE42" s="57">
        <f t="shared" si="7"/>
        <v>0.20355527244252997</v>
      </c>
      <c r="AG42" s="89"/>
    </row>
    <row r="43" spans="9:33" x14ac:dyDescent="0.2">
      <c r="I43" s="56">
        <f t="shared" si="15"/>
        <v>36</v>
      </c>
      <c r="J43" s="19">
        <f t="shared" si="9"/>
        <v>0.11532512103806207</v>
      </c>
      <c r="K43" s="19">
        <f t="shared" si="10"/>
        <v>6.1560300053027733E-2</v>
      </c>
      <c r="L43" s="19">
        <f t="shared" si="11"/>
        <v>0.26448686624413109</v>
      </c>
      <c r="M43" s="19">
        <f t="shared" si="12"/>
        <v>0.2615024341322465</v>
      </c>
      <c r="N43" s="85">
        <f t="shared" si="13"/>
        <v>0.29712527853253179</v>
      </c>
      <c r="O43" s="19"/>
      <c r="P43" s="64">
        <f t="shared" si="16"/>
        <v>0.33959552564493911</v>
      </c>
      <c r="Q43" s="12"/>
      <c r="R43" s="12">
        <v>1</v>
      </c>
      <c r="S43" s="12"/>
      <c r="T43" s="65">
        <f t="shared" si="1"/>
        <v>0.33959552564493911</v>
      </c>
      <c r="V43" s="55">
        <f t="shared" si="2"/>
        <v>200.54271519208493</v>
      </c>
      <c r="W43" s="11"/>
      <c r="X43" s="76">
        <f t="shared" si="3"/>
        <v>0.13087906252627335</v>
      </c>
      <c r="Y43" s="77"/>
      <c r="Z43" s="76">
        <f t="shared" si="4"/>
        <v>1.9756443160785196E-2</v>
      </c>
      <c r="AB43" s="74">
        <v>33.982592404000002</v>
      </c>
      <c r="AC43" s="2">
        <f t="shared" si="17"/>
        <v>21.307223263871222</v>
      </c>
      <c r="AD43" s="2">
        <f t="shared" si="18"/>
        <v>9.247475235570346E-3</v>
      </c>
      <c r="AE43" s="57">
        <f t="shared" si="7"/>
        <v>0.1970380194714175</v>
      </c>
      <c r="AG43" s="89"/>
    </row>
    <row r="44" spans="9:33" x14ac:dyDescent="0.2">
      <c r="I44" s="56">
        <f t="shared" si="15"/>
        <v>37</v>
      </c>
      <c r="J44" s="19">
        <f t="shared" si="9"/>
        <v>0.10860910882495754</v>
      </c>
      <c r="K44" s="19">
        <f t="shared" si="10"/>
        <v>5.8178695323045503E-2</v>
      </c>
      <c r="L44" s="19">
        <f t="shared" si="11"/>
        <v>0.26115573117173585</v>
      </c>
      <c r="M44" s="19">
        <f t="shared" si="12"/>
        <v>0.26584876168899235</v>
      </c>
      <c r="N44" s="85">
        <f t="shared" si="13"/>
        <v>0.30620770299126793</v>
      </c>
      <c r="O44" s="19"/>
      <c r="P44" s="64">
        <f t="shared" si="16"/>
        <v>0.32955896107518912</v>
      </c>
      <c r="Q44" s="12"/>
      <c r="R44" s="12">
        <v>1</v>
      </c>
      <c r="S44" s="12"/>
      <c r="T44" s="65">
        <f t="shared" si="1"/>
        <v>0.32955896107518912</v>
      </c>
      <c r="V44" s="55">
        <f t="shared" si="2"/>
        <v>191.30573327495014</v>
      </c>
      <c r="W44" s="11"/>
      <c r="X44" s="76">
        <f t="shared" si="3"/>
        <v>0.12286071909069028</v>
      </c>
      <c r="Y44" s="77"/>
      <c r="Z44" s="76">
        <f t="shared" si="4"/>
        <v>1.8846462920175208E-2</v>
      </c>
      <c r="AB44" s="74">
        <v>33.050303857999999</v>
      </c>
      <c r="AC44" s="2">
        <f t="shared" si="17"/>
        <v>20.966121276791593</v>
      </c>
      <c r="AD44" s="2">
        <f t="shared" si="18"/>
        <v>9.082424458736138E-3</v>
      </c>
      <c r="AE44" s="57">
        <f t="shared" si="7"/>
        <v>0.19042321268916013</v>
      </c>
      <c r="AG44" s="89"/>
    </row>
    <row r="45" spans="9:33" x14ac:dyDescent="0.2">
      <c r="I45" s="56">
        <f t="shared" si="15"/>
        <v>38</v>
      </c>
      <c r="J45" s="19">
        <f t="shared" si="9"/>
        <v>0.10228420671553703</v>
      </c>
      <c r="K45" s="19">
        <f t="shared" si="10"/>
        <v>5.4965689587814573E-2</v>
      </c>
      <c r="L45" s="19">
        <f t="shared" si="11"/>
        <v>0.2575674665496856</v>
      </c>
      <c r="M45" s="19">
        <f t="shared" si="12"/>
        <v>0.27006231352756338</v>
      </c>
      <c r="N45" s="85">
        <f t="shared" si="13"/>
        <v>0.31512032361939862</v>
      </c>
      <c r="O45" s="19"/>
      <c r="P45" s="64">
        <f t="shared" si="16"/>
        <v>0.31981902181630395</v>
      </c>
      <c r="Q45" s="12"/>
      <c r="R45" s="12">
        <v>1</v>
      </c>
      <c r="S45" s="12"/>
      <c r="T45" s="65">
        <f t="shared" si="1"/>
        <v>0.31981902181630395</v>
      </c>
      <c r="V45" s="55">
        <f t="shared" si="2"/>
        <v>182.32902348468156</v>
      </c>
      <c r="W45" s="11"/>
      <c r="X45" s="76">
        <f t="shared" si="3"/>
        <v>0.11531253452548071</v>
      </c>
      <c r="Y45" s="77"/>
      <c r="Z45" s="76">
        <f t="shared" si="4"/>
        <v>1.7962123359037633E-2</v>
      </c>
      <c r="AB45" s="74">
        <v>32.118015311999997</v>
      </c>
      <c r="AC45" s="2">
        <f t="shared" si="17"/>
        <v>20.615344460118877</v>
      </c>
      <c r="AD45" s="2">
        <f t="shared" si="18"/>
        <v>8.9126206281306963E-3</v>
      </c>
      <c r="AE45" s="57">
        <f t="shared" si="7"/>
        <v>0.18373674429127537</v>
      </c>
      <c r="AG45" s="89"/>
    </row>
    <row r="46" spans="9:33" x14ac:dyDescent="0.2">
      <c r="I46" s="56">
        <f t="shared" si="15"/>
        <v>39</v>
      </c>
      <c r="J46" s="19">
        <f t="shared" si="9"/>
        <v>9.6327638230492604E-2</v>
      </c>
      <c r="K46" s="19">
        <f t="shared" si="10"/>
        <v>5.1915410595780448E-2</v>
      </c>
      <c r="L46" s="19">
        <f t="shared" si="11"/>
        <v>0.25375164199625305</v>
      </c>
      <c r="M46" s="19">
        <f t="shared" si="12"/>
        <v>0.27414612069687011</v>
      </c>
      <c r="N46" s="85">
        <f t="shared" si="13"/>
        <v>0.32385918848060297</v>
      </c>
      <c r="O46" s="19"/>
      <c r="P46" s="64">
        <f t="shared" si="16"/>
        <v>0.31036694126548503</v>
      </c>
      <c r="Q46" s="12"/>
      <c r="R46" s="12">
        <v>1</v>
      </c>
      <c r="S46" s="12"/>
      <c r="T46" s="65">
        <f t="shared" si="1"/>
        <v>0.31036694126548503</v>
      </c>
      <c r="V46" s="55">
        <f t="shared" si="2"/>
        <v>173.62506912609706</v>
      </c>
      <c r="W46" s="11"/>
      <c r="X46" s="76">
        <f t="shared" si="3"/>
        <v>0.10820899704249978</v>
      </c>
      <c r="Y46" s="77"/>
      <c r="Z46" s="76">
        <f t="shared" si="4"/>
        <v>1.710465426875063E-2</v>
      </c>
      <c r="AB46" s="74">
        <v>31.185726765999998</v>
      </c>
      <c r="AC46" s="2">
        <f t="shared" si="17"/>
        <v>20.25461840229525</v>
      </c>
      <c r="AD46" s="2">
        <f t="shared" si="18"/>
        <v>8.7388648612043429E-3</v>
      </c>
      <c r="AE46" s="57">
        <f t="shared" si="7"/>
        <v>0.17700237303292082</v>
      </c>
      <c r="AG46" s="89"/>
    </row>
    <row r="47" spans="9:33" x14ac:dyDescent="0.2">
      <c r="I47" s="56">
        <f t="shared" si="15"/>
        <v>40</v>
      </c>
      <c r="J47" s="19">
        <f t="shared" si="9"/>
        <v>9.0717953289412109E-2</v>
      </c>
      <c r="K47" s="19">
        <f t="shared" si="10"/>
        <v>4.9021778395970092E-2</v>
      </c>
      <c r="L47" s="19">
        <f t="shared" si="11"/>
        <v>0.2497359636732403</v>
      </c>
      <c r="M47" s="19">
        <f t="shared" si="12"/>
        <v>0.27810321967465956</v>
      </c>
      <c r="N47" s="85">
        <f t="shared" si="13"/>
        <v>0.33242108496671707</v>
      </c>
      <c r="O47" s="19"/>
      <c r="P47" s="64">
        <f t="shared" si="16"/>
        <v>0.30119421191220214</v>
      </c>
      <c r="Q47" s="12"/>
      <c r="R47" s="12">
        <v>1</v>
      </c>
      <c r="S47" s="12"/>
      <c r="T47" s="65">
        <f t="shared" si="1"/>
        <v>0.30119421191220214</v>
      </c>
      <c r="V47" s="55">
        <f t="shared" si="2"/>
        <v>165.20312943990072</v>
      </c>
      <c r="W47" s="11"/>
      <c r="X47" s="76">
        <f t="shared" si="3"/>
        <v>0.10152576597403261</v>
      </c>
      <c r="Y47" s="77"/>
      <c r="Z47" s="76">
        <f t="shared" si="4"/>
        <v>1.627496782237671E-2</v>
      </c>
      <c r="AB47" s="74">
        <v>30.25343822</v>
      </c>
      <c r="AC47" s="2">
        <f t="shared" si="17"/>
        <v>19.883660908504019</v>
      </c>
      <c r="AD47" s="2">
        <f t="shared" si="18"/>
        <v>8.5618964861141067E-3</v>
      </c>
      <c r="AE47" s="57">
        <f t="shared" si="7"/>
        <v>0.17024184646360499</v>
      </c>
      <c r="AG47" s="89"/>
    </row>
    <row r="48" spans="9:33" x14ac:dyDescent="0.2">
      <c r="I48" s="56">
        <f t="shared" ref="I48:I66" si="19">I47+1</f>
        <v>41</v>
      </c>
      <c r="J48" s="19">
        <f t="shared" si="9"/>
        <v>8.5434950967320844E-2</v>
      </c>
      <c r="K48" s="19">
        <f t="shared" si="10"/>
        <v>4.6278593998490852E-2</v>
      </c>
      <c r="L48" s="19">
        <f t="shared" si="11"/>
        <v>0.24554632833865703</v>
      </c>
      <c r="M48" s="19">
        <f t="shared" si="12"/>
        <v>0.28193664525066869</v>
      </c>
      <c r="N48" s="85">
        <f t="shared" si="13"/>
        <v>0.34080348144486172</v>
      </c>
      <c r="O48" s="19"/>
      <c r="P48" s="64">
        <f t="shared" si="16"/>
        <v>0.29229257768085942</v>
      </c>
      <c r="Q48" s="12"/>
      <c r="R48" s="12">
        <v>1</v>
      </c>
      <c r="S48" s="12"/>
      <c r="T48" s="65">
        <f t="shared" si="1"/>
        <v>0.29229257768085942</v>
      </c>
      <c r="V48" s="55">
        <f t="shared" si="2"/>
        <v>157.06962803161827</v>
      </c>
      <c r="W48" s="11"/>
      <c r="X48" s="76">
        <f t="shared" si="3"/>
        <v>9.5239642497119026E-2</v>
      </c>
      <c r="Y48" s="77"/>
      <c r="Z48" s="76">
        <f t="shared" si="4"/>
        <v>1.547369684069589E-2</v>
      </c>
      <c r="AB48" s="74">
        <v>29.338929644</v>
      </c>
      <c r="AC48" s="2">
        <f t="shared" si="17"/>
        <v>19.509557336467644</v>
      </c>
      <c r="AD48" s="2">
        <f t="shared" si="18"/>
        <v>8.3823964781446492E-3</v>
      </c>
      <c r="AE48" s="57">
        <f t="shared" si="7"/>
        <v>0.16353684470736748</v>
      </c>
      <c r="AG48" s="89"/>
    </row>
    <row r="49" spans="9:33" x14ac:dyDescent="0.2">
      <c r="I49" s="56">
        <f t="shared" si="19"/>
        <v>42</v>
      </c>
      <c r="J49" s="19">
        <f t="shared" si="9"/>
        <v>8.0459606749532064E-2</v>
      </c>
      <c r="K49" s="19">
        <f t="shared" si="10"/>
        <v>4.3679612206946411E-2</v>
      </c>
      <c r="L49" s="19">
        <f t="shared" si="11"/>
        <v>0.24120688474663329</v>
      </c>
      <c r="M49" s="19">
        <f t="shared" si="12"/>
        <v>0.28564942404444876</v>
      </c>
      <c r="N49" s="85">
        <f t="shared" si="13"/>
        <v>0.34900447225243858</v>
      </c>
      <c r="O49" s="19"/>
      <c r="P49" s="64">
        <f t="shared" si="16"/>
        <v>0.2836540264997704</v>
      </c>
      <c r="Q49" s="12"/>
      <c r="R49" s="12">
        <v>1</v>
      </c>
      <c r="S49" s="12"/>
      <c r="T49" s="65">
        <f t="shared" si="1"/>
        <v>0.2836540264997704</v>
      </c>
      <c r="V49" s="55">
        <f t="shared" si="2"/>
        <v>149.22850603414605</v>
      </c>
      <c r="W49" s="11"/>
      <c r="X49" s="76">
        <f t="shared" si="3"/>
        <v>8.9328537671898176E-2</v>
      </c>
      <c r="Y49" s="77"/>
      <c r="Z49" s="76">
        <f t="shared" si="4"/>
        <v>1.4701229583974728E-2</v>
      </c>
      <c r="AB49" s="74">
        <v>28.424421068000001</v>
      </c>
      <c r="AC49" s="2">
        <f t="shared" si="17"/>
        <v>19.125048047608598</v>
      </c>
      <c r="AD49" s="2">
        <f t="shared" si="18"/>
        <v>8.2009908075768578E-3</v>
      </c>
      <c r="AE49" s="57">
        <f t="shared" si="7"/>
        <v>0.15684434323290383</v>
      </c>
      <c r="AG49" s="89"/>
    </row>
    <row r="50" spans="9:33" x14ac:dyDescent="0.2">
      <c r="I50" s="56">
        <f t="shared" si="19"/>
        <v>43</v>
      </c>
      <c r="J50" s="19">
        <f t="shared" si="9"/>
        <v>7.5774004022845121E-2</v>
      </c>
      <c r="K50" s="19">
        <f t="shared" si="10"/>
        <v>4.1218601030060704E-2</v>
      </c>
      <c r="L50" s="19">
        <f t="shared" si="11"/>
        <v>0.23674010039079099</v>
      </c>
      <c r="M50" s="19">
        <f t="shared" si="12"/>
        <v>0.28924456861873488</v>
      </c>
      <c r="N50" s="85">
        <f t="shared" si="13"/>
        <v>0.3570227259375674</v>
      </c>
      <c r="O50" s="19"/>
      <c r="P50" s="64">
        <f t="shared" si="16"/>
        <v>0.27527078308975234</v>
      </c>
      <c r="Q50" s="12"/>
      <c r="R50" s="12">
        <v>1</v>
      </c>
      <c r="S50" s="12"/>
      <c r="T50" s="65">
        <f t="shared" si="1"/>
        <v>0.27527078308975234</v>
      </c>
      <c r="V50" s="55">
        <f t="shared" si="2"/>
        <v>141.68154223004811</v>
      </c>
      <c r="W50" s="11"/>
      <c r="X50" s="76">
        <f t="shared" si="3"/>
        <v>8.3771438438108747E-2</v>
      </c>
      <c r="Y50" s="77"/>
      <c r="Z50" s="76">
        <f t="shared" si="4"/>
        <v>1.3957741288778611E-2</v>
      </c>
      <c r="AB50" s="74">
        <v>27.509912492000002</v>
      </c>
      <c r="AC50" s="2">
        <f t="shared" si="17"/>
        <v>18.729843606191203</v>
      </c>
      <c r="AD50" s="2">
        <f t="shared" si="18"/>
        <v>8.0182536851288178E-3</v>
      </c>
      <c r="AE50" s="57">
        <f t="shared" si="7"/>
        <v>0.15018063751722904</v>
      </c>
      <c r="AG50" s="89"/>
    </row>
    <row r="51" spans="9:33" x14ac:dyDescent="0.2">
      <c r="I51" s="56">
        <f t="shared" si="19"/>
        <v>44</v>
      </c>
      <c r="J51" s="19">
        <f t="shared" si="9"/>
        <v>7.1361269556385706E-2</v>
      </c>
      <c r="K51" s="19">
        <f t="shared" si="10"/>
        <v>3.8889389732687865E-2</v>
      </c>
      <c r="L51" s="19">
        <f t="shared" si="11"/>
        <v>0.23216683192797061</v>
      </c>
      <c r="M51" s="19">
        <f t="shared" si="12"/>
        <v>0.29272507215069582</v>
      </c>
      <c r="N51" s="85">
        <f t="shared" si="13"/>
        <v>0.36485743663225906</v>
      </c>
      <c r="O51" s="19"/>
      <c r="P51" s="64">
        <f t="shared" si="16"/>
        <v>0.26713530196585039</v>
      </c>
      <c r="Q51" s="12"/>
      <c r="R51" s="12">
        <v>1</v>
      </c>
      <c r="S51" s="12"/>
      <c r="T51" s="65">
        <f t="shared" si="1"/>
        <v>0.26713530196585039</v>
      </c>
      <c r="V51" s="55">
        <f t="shared" si="2"/>
        <v>134.42864237657574</v>
      </c>
      <c r="W51" s="11"/>
      <c r="X51" s="76">
        <f t="shared" si="3"/>
        <v>7.8548372120471915E-2</v>
      </c>
      <c r="Y51" s="77"/>
      <c r="Z51" s="76">
        <f t="shared" si="4"/>
        <v>1.3243222670793678E-2</v>
      </c>
      <c r="AB51" s="74">
        <v>26.595403915999999</v>
      </c>
      <c r="AC51" s="2">
        <f t="shared" si="17"/>
        <v>18.323646525804701</v>
      </c>
      <c r="AD51" s="2">
        <f t="shared" si="18"/>
        <v>7.83471069469166E-3</v>
      </c>
      <c r="AE51" s="57">
        <f t="shared" si="7"/>
        <v>0.14356046940147177</v>
      </c>
      <c r="AG51" s="89"/>
    </row>
    <row r="52" spans="9:33" x14ac:dyDescent="0.2">
      <c r="I52" s="56">
        <f t="shared" si="19"/>
        <v>45</v>
      </c>
      <c r="J52" s="19">
        <f t="shared" si="9"/>
        <v>6.7205512739749423E-2</v>
      </c>
      <c r="K52" s="19">
        <f t="shared" si="10"/>
        <v>3.6685907288310324E-2</v>
      </c>
      <c r="L52" s="19">
        <f t="shared" si="11"/>
        <v>0.22750639790867055</v>
      </c>
      <c r="M52" s="19">
        <f t="shared" si="12"/>
        <v>0.29609390362493559</v>
      </c>
      <c r="N52" s="85">
        <f t="shared" si="13"/>
        <v>0.37250827843833312</v>
      </c>
      <c r="O52" s="19"/>
      <c r="P52" s="64">
        <f t="shared" si="16"/>
        <v>0.25924026064589156</v>
      </c>
      <c r="Q52" s="12"/>
      <c r="R52" s="12">
        <v>1</v>
      </c>
      <c r="S52" s="12"/>
      <c r="T52" s="65">
        <f t="shared" si="1"/>
        <v>0.25924026064589156</v>
      </c>
      <c r="V52" s="55">
        <f t="shared" si="2"/>
        <v>127.46809995235593</v>
      </c>
      <c r="W52" s="11"/>
      <c r="X52" s="76">
        <f t="shared" si="3"/>
        <v>7.3640369912534726E-2</v>
      </c>
      <c r="Y52" s="77"/>
      <c r="Z52" s="76">
        <f t="shared" si="4"/>
        <v>1.255750561225771E-2</v>
      </c>
      <c r="AB52" s="74">
        <v>25.680895339999999</v>
      </c>
      <c r="AC52" s="2">
        <f t="shared" si="17"/>
        <v>17.906151045433177</v>
      </c>
      <c r="AD52" s="2">
        <f t="shared" si="18"/>
        <v>7.6508418060740602E-3</v>
      </c>
      <c r="AE52" s="57">
        <f t="shared" si="7"/>
        <v>0.13699712900427688</v>
      </c>
      <c r="AG52" s="89"/>
    </row>
    <row r="53" spans="9:33" x14ac:dyDescent="0.2">
      <c r="I53" s="56">
        <f t="shared" si="19"/>
        <v>46</v>
      </c>
      <c r="J53" s="19">
        <f t="shared" si="9"/>
        <v>6.3291768359640399E-2</v>
      </c>
      <c r="K53" s="19">
        <f t="shared" si="10"/>
        <v>3.4602212739217889E-2</v>
      </c>
      <c r="L53" s="19">
        <f t="shared" si="11"/>
        <v>0.22277665268616192</v>
      </c>
      <c r="M53" s="19">
        <f t="shared" si="12"/>
        <v>0.29935400351369645</v>
      </c>
      <c r="N53" s="85">
        <f t="shared" si="13"/>
        <v>0.37997536270128235</v>
      </c>
      <c r="O53" s="19"/>
      <c r="P53" s="64">
        <f t="shared" si="16"/>
        <v>0.25157855305975652</v>
      </c>
      <c r="Q53" s="12"/>
      <c r="R53" s="12">
        <v>1</v>
      </c>
      <c r="S53" s="12"/>
      <c r="T53" s="65">
        <f t="shared" si="1"/>
        <v>0.25157855305975652</v>
      </c>
      <c r="V53" s="55">
        <f t="shared" si="2"/>
        <v>120.79683049015938</v>
      </c>
      <c r="W53" s="11"/>
      <c r="X53" s="76">
        <f t="shared" si="3"/>
        <v>6.902942973805444E-2</v>
      </c>
      <c r="Y53" s="77"/>
      <c r="Z53" s="76">
        <f t="shared" si="4"/>
        <v>1.1900286247226544E-2</v>
      </c>
      <c r="AB53" s="74">
        <v>24.802356295999999</v>
      </c>
      <c r="AC53" s="2">
        <f t="shared" si="17"/>
        <v>17.494143971259124</v>
      </c>
      <c r="AD53" s="2">
        <f t="shared" si="18"/>
        <v>7.4670842629492307E-3</v>
      </c>
      <c r="AE53" s="57">
        <f t="shared" si="7"/>
        <v>0.13063024714155716</v>
      </c>
      <c r="AG53" s="89"/>
    </row>
    <row r="54" spans="9:33" x14ac:dyDescent="0.2">
      <c r="I54" s="56">
        <f t="shared" si="19"/>
        <v>47</v>
      </c>
      <c r="J54" s="19">
        <f t="shared" si="9"/>
        <v>5.9605942708939041E-2</v>
      </c>
      <c r="K54" s="19">
        <f t="shared" si="10"/>
        <v>3.2632518750906857E-2</v>
      </c>
      <c r="L54" s="19">
        <f t="shared" si="11"/>
        <v>0.21799406058431361</v>
      </c>
      <c r="M54" s="19">
        <f t="shared" si="12"/>
        <v>0.30250827991131424</v>
      </c>
      <c r="N54" s="85">
        <f t="shared" si="13"/>
        <v>0.3872591980445253</v>
      </c>
      <c r="O54" s="19"/>
      <c r="P54" s="64">
        <f t="shared" si="16"/>
        <v>0.24414328315343711</v>
      </c>
      <c r="Q54" s="12"/>
      <c r="R54" s="12">
        <v>1</v>
      </c>
      <c r="S54" s="12"/>
      <c r="T54" s="65">
        <f t="shared" si="1"/>
        <v>0.24414328315343711</v>
      </c>
      <c r="V54" s="55">
        <f t="shared" si="2"/>
        <v>114.4105815834197</v>
      </c>
      <c r="W54" s="11"/>
      <c r="X54" s="76">
        <f t="shared" si="3"/>
        <v>6.4698478827760808E-2</v>
      </c>
      <c r="Y54" s="77"/>
      <c r="Z54" s="76">
        <f t="shared" si="4"/>
        <v>1.127114565034283E-2</v>
      </c>
      <c r="AB54" s="74">
        <v>23.923817251999999</v>
      </c>
      <c r="AC54" s="2">
        <f t="shared" si="17"/>
        <v>17.071133602640145</v>
      </c>
      <c r="AD54" s="2">
        <f t="shared" si="18"/>
        <v>7.2838353432429503E-3</v>
      </c>
      <c r="AE54" s="57">
        <f t="shared" si="7"/>
        <v>0.12434332628413265</v>
      </c>
      <c r="AG54" s="89"/>
    </row>
    <row r="55" spans="9:33" x14ac:dyDescent="0.2">
      <c r="I55" s="56">
        <f t="shared" si="19"/>
        <v>48</v>
      </c>
      <c r="J55" s="19">
        <f t="shared" si="9"/>
        <v>5.613476283413342E-2</v>
      </c>
      <c r="K55" s="19">
        <f t="shared" si="10"/>
        <v>3.0771209458753904E-2</v>
      </c>
      <c r="L55" s="19">
        <f t="shared" si="11"/>
        <v>0.2131737695801311</v>
      </c>
      <c r="M55" s="19">
        <f t="shared" si="12"/>
        <v>0.30555960509158059</v>
      </c>
      <c r="N55" s="85">
        <f t="shared" si="13"/>
        <v>0.39436065303540002</v>
      </c>
      <c r="O55" s="19"/>
      <c r="P55" s="64">
        <f t="shared" si="16"/>
        <v>0.23692775868212176</v>
      </c>
      <c r="Q55" s="12"/>
      <c r="R55" s="12">
        <v>1</v>
      </c>
      <c r="S55" s="12"/>
      <c r="T55" s="65">
        <f t="shared" si="1"/>
        <v>0.23692775868212176</v>
      </c>
      <c r="V55" s="55">
        <f t="shared" si="2"/>
        <v>108.30412056187973</v>
      </c>
      <c r="W55" s="11"/>
      <c r="X55" s="76">
        <f t="shared" si="3"/>
        <v>6.0631336296145963E-2</v>
      </c>
      <c r="Y55" s="77"/>
      <c r="Z55" s="76">
        <f t="shared" si="4"/>
        <v>1.0669568325681342E-2</v>
      </c>
      <c r="AB55" s="74">
        <v>23.045278207999999</v>
      </c>
      <c r="AC55" s="2">
        <f t="shared" si="17"/>
        <v>16.636826079358205</v>
      </c>
      <c r="AD55" s="2">
        <f t="shared" si="18"/>
        <v>7.1014549908747227E-3</v>
      </c>
      <c r="AE55" s="57">
        <f t="shared" si="7"/>
        <v>0.11814567159357307</v>
      </c>
      <c r="AG55" s="89"/>
    </row>
    <row r="56" spans="9:33" x14ac:dyDescent="0.2">
      <c r="I56" s="56">
        <f t="shared" si="19"/>
        <v>49</v>
      </c>
      <c r="J56" s="19">
        <f t="shared" si="9"/>
        <v>5.2865728738350076E-2</v>
      </c>
      <c r="K56" s="19">
        <f t="shared" si="10"/>
        <v>2.9012853543330434E-2</v>
      </c>
      <c r="L56" s="19">
        <f t="shared" si="11"/>
        <v>0.20832968390553366</v>
      </c>
      <c r="M56" s="19">
        <f t="shared" si="12"/>
        <v>0.30851081245825862</v>
      </c>
      <c r="N56" s="85">
        <f t="shared" si="13"/>
        <v>0.40128092135452625</v>
      </c>
      <c r="O56" s="19"/>
      <c r="P56" s="64">
        <f t="shared" si="16"/>
        <v>0.22992548518672384</v>
      </c>
      <c r="Q56" s="12"/>
      <c r="R56" s="12">
        <v>1</v>
      </c>
      <c r="S56" s="12"/>
      <c r="T56" s="65">
        <f t="shared" si="1"/>
        <v>0.22992548518672384</v>
      </c>
      <c r="V56" s="55">
        <f t="shared" si="2"/>
        <v>102.47140172915489</v>
      </c>
      <c r="W56" s="11"/>
      <c r="X56" s="76">
        <f t="shared" si="3"/>
        <v>5.6812675956757722E-2</v>
      </c>
      <c r="Y56" s="77"/>
      <c r="Z56" s="76">
        <f t="shared" si="4"/>
        <v>1.0094958682138841E-2</v>
      </c>
      <c r="AB56" s="74">
        <v>22.166739163999999</v>
      </c>
      <c r="AC56" s="2">
        <f t="shared" si="17"/>
        <v>16.190919693197753</v>
      </c>
      <c r="AD56" s="2">
        <f t="shared" si="18"/>
        <v>6.9202683191262326E-3</v>
      </c>
      <c r="AE56" s="57">
        <f t="shared" si="7"/>
        <v>0.11204550861035344</v>
      </c>
      <c r="AG56" s="89"/>
    </row>
    <row r="57" spans="9:33" x14ac:dyDescent="0.2">
      <c r="I57" s="56">
        <f t="shared" si="19"/>
        <v>50</v>
      </c>
      <c r="J57" s="19">
        <f t="shared" si="9"/>
        <v>4.9787068367863667E-2</v>
      </c>
      <c r="K57" s="19">
        <f t="shared" si="10"/>
        <v>2.7352213332064487E-2</v>
      </c>
      <c r="L57" s="19">
        <f t="shared" si="11"/>
        <v>0.20347453509797137</v>
      </c>
      <c r="M57" s="19">
        <f t="shared" si="12"/>
        <v>0.31136469386056481</v>
      </c>
      <c r="N57" s="85">
        <f t="shared" si="13"/>
        <v>0.4080214893415347</v>
      </c>
      <c r="O57" s="19"/>
      <c r="P57" s="64">
        <f t="shared" si="16"/>
        <v>0.22313016014842982</v>
      </c>
      <c r="Q57" s="12"/>
      <c r="R57" s="12">
        <v>1</v>
      </c>
      <c r="S57" s="12"/>
      <c r="T57" s="65">
        <f t="shared" si="1"/>
        <v>0.22313016014842982</v>
      </c>
      <c r="V57" s="55">
        <f t="shared" si="2"/>
        <v>96.90571494627288</v>
      </c>
      <c r="W57" s="11"/>
      <c r="X57" s="76">
        <f t="shared" si="3"/>
        <v>5.3227989574410058E-2</v>
      </c>
      <c r="Y57" s="77"/>
      <c r="Z57" s="76">
        <f t="shared" si="4"/>
        <v>9.546655671124846E-3</v>
      </c>
      <c r="AB57" s="74">
        <v>21.288200119999999</v>
      </c>
      <c r="AC57" s="2">
        <f t="shared" si="17"/>
        <v>15.733104678352621</v>
      </c>
      <c r="AD57" s="2">
        <f t="shared" si="18"/>
        <v>6.7405679870084501E-3</v>
      </c>
      <c r="AE57" s="57">
        <f t="shared" si="7"/>
        <v>0.10605006173115655</v>
      </c>
      <c r="AG57" s="89"/>
    </row>
    <row r="58" spans="9:33" x14ac:dyDescent="0.2">
      <c r="I58" s="56">
        <f t="shared" si="19"/>
        <v>51</v>
      </c>
      <c r="J58" s="19">
        <f t="shared" si="9"/>
        <v>4.6887695219988222E-2</v>
      </c>
      <c r="K58" s="19">
        <f t="shared" si="10"/>
        <v>2.5784250606092324E-2</v>
      </c>
      <c r="L58" s="19">
        <f t="shared" si="11"/>
        <v>0.19861995113454647</v>
      </c>
      <c r="M58" s="19">
        <f t="shared" si="12"/>
        <v>0.31412399724696516</v>
      </c>
      <c r="N58" s="85">
        <f t="shared" si="13"/>
        <v>0.41458410579240684</v>
      </c>
      <c r="O58" s="19"/>
      <c r="P58" s="64">
        <f t="shared" si="16"/>
        <v>0.21653566731600707</v>
      </c>
      <c r="Q58" s="12"/>
      <c r="R58" s="12">
        <v>1</v>
      </c>
      <c r="S58" s="12"/>
      <c r="T58" s="65">
        <f t="shared" si="1"/>
        <v>0.21653566731600707</v>
      </c>
      <c r="V58" s="55">
        <f t="shared" si="2"/>
        <v>91.599817233616832</v>
      </c>
      <c r="W58" s="11"/>
      <c r="X58" s="76">
        <f t="shared" si="3"/>
        <v>4.9863550717994788E-2</v>
      </c>
      <c r="Y58" s="77"/>
      <c r="Z58" s="76">
        <f t="shared" si="4"/>
        <v>9.0239457513123789E-3</v>
      </c>
      <c r="AB58" s="74">
        <v>20.451263034</v>
      </c>
      <c r="AC58" s="2">
        <f t="shared" si="17"/>
        <v>15.285601687333003</v>
      </c>
      <c r="AD58" s="2">
        <f t="shared" si="18"/>
        <v>6.5626164508721385E-3</v>
      </c>
      <c r="AE58" s="57">
        <f t="shared" si="7"/>
        <v>0.10031354109477049</v>
      </c>
      <c r="AG58" s="89"/>
    </row>
    <row r="59" spans="9:33" x14ac:dyDescent="0.2">
      <c r="I59" s="56">
        <f t="shared" si="19"/>
        <v>52</v>
      </c>
      <c r="J59" s="19">
        <f t="shared" si="9"/>
        <v>4.4157168419692611E-2</v>
      </c>
      <c r="K59" s="19">
        <f t="shared" si="10"/>
        <v>2.4304129689285026E-2</v>
      </c>
      <c r="L59" s="19">
        <f t="shared" si="11"/>
        <v>0.19377652337229662</v>
      </c>
      <c r="M59" s="19">
        <f t="shared" si="12"/>
        <v>0.31679142463212451</v>
      </c>
      <c r="N59" s="85">
        <f t="shared" si="13"/>
        <v>0.42097075388660027</v>
      </c>
      <c r="O59" s="19"/>
      <c r="P59" s="64">
        <f t="shared" si="16"/>
        <v>0.21013607120076472</v>
      </c>
      <c r="Q59" s="12"/>
      <c r="R59" s="12">
        <v>1</v>
      </c>
      <c r="S59" s="12"/>
      <c r="T59" s="65">
        <f t="shared" si="1"/>
        <v>0.21013607120076472</v>
      </c>
      <c r="V59" s="55">
        <f t="shared" si="2"/>
        <v>86.546048951655365</v>
      </c>
      <c r="W59" s="11"/>
      <c r="X59" s="76">
        <f t="shared" si="3"/>
        <v>4.6706379347499952E-2</v>
      </c>
      <c r="Y59" s="77"/>
      <c r="Z59" s="76">
        <f t="shared" si="4"/>
        <v>8.5260743341695651E-3</v>
      </c>
      <c r="AB59" s="74">
        <v>19.614325948000001</v>
      </c>
      <c r="AC59" s="2">
        <f t="shared" si="17"/>
        <v>14.82672049601285</v>
      </c>
      <c r="AD59" s="2">
        <f t="shared" si="18"/>
        <v>6.3866480941934256E-3</v>
      </c>
      <c r="AE59" s="57">
        <f t="shared" si="7"/>
        <v>9.469304619899907E-2</v>
      </c>
      <c r="AG59" s="89"/>
    </row>
    <row r="60" spans="9:33" x14ac:dyDescent="0.2">
      <c r="I60" s="56">
        <f t="shared" si="19"/>
        <v>53</v>
      </c>
      <c r="J60" s="19">
        <f t="shared" si="9"/>
        <v>4.1585655121172925E-2</v>
      </c>
      <c r="K60" s="19">
        <f t="shared" si="10"/>
        <v>2.2907218309191599E-2</v>
      </c>
      <c r="L60" s="19">
        <f t="shared" si="11"/>
        <v>0.18895387109074585</v>
      </c>
      <c r="M60" s="19">
        <f t="shared" si="12"/>
        <v>0.3193696303532948</v>
      </c>
      <c r="N60" s="85">
        <f t="shared" si="13"/>
        <v>0.42718362512559388</v>
      </c>
      <c r="O60" s="19"/>
      <c r="P60" s="64">
        <f t="shared" si="16"/>
        <v>0.20392561173421347</v>
      </c>
      <c r="Q60" s="12"/>
      <c r="R60" s="12">
        <v>1</v>
      </c>
      <c r="S60" s="12"/>
      <c r="T60" s="65">
        <f t="shared" si="1"/>
        <v>0.20392561173421347</v>
      </c>
      <c r="V60" s="55">
        <f t="shared" si="2"/>
        <v>81.736436010287193</v>
      </c>
      <c r="W60" s="11"/>
      <c r="X60" s="76">
        <f t="shared" si="3"/>
        <v>4.3744207242825184E-2</v>
      </c>
      <c r="Y60" s="77"/>
      <c r="Z60" s="76">
        <f t="shared" si="4"/>
        <v>8.0522558531018109E-3</v>
      </c>
      <c r="AB60" s="74">
        <v>18.777388861999999</v>
      </c>
      <c r="AC60" s="2">
        <f t="shared" si="17"/>
        <v>14.356171802544639</v>
      </c>
      <c r="AD60" s="2">
        <f t="shared" si="18"/>
        <v>6.2128712389936114E-3</v>
      </c>
      <c r="AE60" s="57">
        <f t="shared" si="7"/>
        <v>8.9193046894080655E-2</v>
      </c>
      <c r="AG60" s="89"/>
    </row>
    <row r="61" spans="9:33" x14ac:dyDescent="0.2">
      <c r="I61" s="56">
        <f t="shared" si="19"/>
        <v>54</v>
      </c>
      <c r="J61" s="19">
        <f t="shared" si="9"/>
        <v>3.9163895098986837E-2</v>
      </c>
      <c r="K61" s="19">
        <f t="shared" si="10"/>
        <v>2.1589086644948983E-2</v>
      </c>
      <c r="L61" s="19">
        <f t="shared" si="11"/>
        <v>0.18416070349389749</v>
      </c>
      <c r="M61" s="19">
        <f t="shared" si="12"/>
        <v>0.32186121959382175</v>
      </c>
      <c r="N61" s="85">
        <f t="shared" si="13"/>
        <v>0.43322509516834401</v>
      </c>
      <c r="O61" s="19"/>
      <c r="P61" s="64">
        <f t="shared" si="16"/>
        <v>0.19789869908361471</v>
      </c>
      <c r="Q61" s="12"/>
      <c r="R61" s="12">
        <v>1</v>
      </c>
      <c r="S61" s="12"/>
      <c r="T61" s="65">
        <f t="shared" si="1"/>
        <v>0.19789869908361471</v>
      </c>
      <c r="V61" s="55">
        <f t="shared" si="2"/>
        <v>77.16277944897007</v>
      </c>
      <c r="W61" s="11"/>
      <c r="X61" s="76">
        <f t="shared" si="3"/>
        <v>4.0965444359516046E-2</v>
      </c>
      <c r="Y61" s="77"/>
      <c r="Z61" s="76">
        <f t="shared" si="4"/>
        <v>7.6016825884281675E-3</v>
      </c>
      <c r="AB61" s="74">
        <v>17.940451776</v>
      </c>
      <c r="AC61" s="2">
        <f t="shared" si="17"/>
        <v>13.873658949298999</v>
      </c>
      <c r="AD61" s="2">
        <f t="shared" si="18"/>
        <v>6.04147004275013E-3</v>
      </c>
      <c r="AE61" s="57">
        <f t="shared" si="7"/>
        <v>8.3817294925522146E-2</v>
      </c>
      <c r="AG61" s="89"/>
    </row>
    <row r="62" spans="9:33" x14ac:dyDescent="0.2">
      <c r="I62" s="56">
        <f t="shared" si="19"/>
        <v>55</v>
      </c>
      <c r="J62" s="19">
        <f t="shared" si="9"/>
        <v>3.6883167401239779E-2</v>
      </c>
      <c r="K62" s="19">
        <f t="shared" si="10"/>
        <v>2.0345504913299055E-2</v>
      </c>
      <c r="L62" s="19">
        <f t="shared" si="11"/>
        <v>0.17940487907938402</v>
      </c>
      <c r="M62" s="19">
        <f t="shared" si="12"/>
        <v>0.32426874715279175</v>
      </c>
      <c r="N62" s="85">
        <f t="shared" si="13"/>
        <v>0.43909770145328447</v>
      </c>
      <c r="O62" s="19"/>
      <c r="P62" s="64">
        <f t="shared" si="16"/>
        <v>0.19204990862075413</v>
      </c>
      <c r="Q62" s="12"/>
      <c r="R62" s="12">
        <v>1</v>
      </c>
      <c r="S62" s="12"/>
      <c r="T62" s="65">
        <f t="shared" si="1"/>
        <v>0.19204990862075413</v>
      </c>
      <c r="V62" s="55">
        <f t="shared" si="2"/>
        <v>72.816733626068483</v>
      </c>
      <c r="W62" s="11"/>
      <c r="X62" s="76">
        <f t="shared" si="3"/>
        <v>3.8359146177172676E-2</v>
      </c>
      <c r="Y62" s="77"/>
      <c r="Z62" s="76">
        <f t="shared" si="4"/>
        <v>7.173532370196199E-3</v>
      </c>
      <c r="AB62" s="74">
        <v>17.103514690000001</v>
      </c>
      <c r="AC62" s="2">
        <f t="shared" si="17"/>
        <v>13.378877735836815</v>
      </c>
      <c r="AD62" s="2">
        <f t="shared" si="18"/>
        <v>5.8726062849404626E-3</v>
      </c>
      <c r="AE62" s="57">
        <f t="shared" si="7"/>
        <v>7.8568881476925298E-2</v>
      </c>
      <c r="AG62" s="89"/>
    </row>
    <row r="63" spans="9:33" x14ac:dyDescent="0.2">
      <c r="I63" s="56">
        <f t="shared" si="19"/>
        <v>56</v>
      </c>
      <c r="J63" s="19">
        <f t="shared" si="9"/>
        <v>3.4735258944738341E-2</v>
      </c>
      <c r="K63" s="19">
        <f t="shared" si="10"/>
        <v>1.9172439789199816E-2</v>
      </c>
      <c r="L63" s="19">
        <f t="shared" si="11"/>
        <v>0.17469346232409333</v>
      </c>
      <c r="M63" s="19">
        <f t="shared" si="12"/>
        <v>0.32659471644112475</v>
      </c>
      <c r="N63" s="85">
        <f t="shared" si="13"/>
        <v>0.44480412250084278</v>
      </c>
      <c r="O63" s="19"/>
      <c r="P63" s="64">
        <f t="shared" si="16"/>
        <v>0.18637397603940997</v>
      </c>
      <c r="Q63" s="12"/>
      <c r="R63" s="12">
        <v>1</v>
      </c>
      <c r="S63" s="12"/>
      <c r="T63" s="65">
        <f t="shared" si="1"/>
        <v>0.18637397603940997</v>
      </c>
      <c r="V63" s="55">
        <f t="shared" si="2"/>
        <v>68.689874156753632</v>
      </c>
      <c r="W63" s="11"/>
      <c r="X63" s="76">
        <f t="shared" si="3"/>
        <v>3.5914982089629968E-2</v>
      </c>
      <c r="Y63" s="77"/>
      <c r="Z63" s="76">
        <f t="shared" si="4"/>
        <v>6.766975271076575E-3</v>
      </c>
      <c r="AB63" s="74">
        <v>16.330556705999999</v>
      </c>
      <c r="AC63" s="2">
        <f t="shared" si="17"/>
        <v>12.910752421145837</v>
      </c>
      <c r="AD63" s="2">
        <f t="shared" si="18"/>
        <v>5.7064210475583077E-3</v>
      </c>
      <c r="AE63" s="57">
        <f t="shared" si="7"/>
        <v>7.3674189355840983E-2</v>
      </c>
      <c r="AG63" s="89"/>
    </row>
    <row r="64" spans="9:33" x14ac:dyDescent="0.2">
      <c r="I64" s="56">
        <f t="shared" si="19"/>
        <v>57</v>
      </c>
      <c r="J64" s="19">
        <f t="shared" si="9"/>
        <v>3.2712434939019604E-2</v>
      </c>
      <c r="K64" s="19">
        <f t="shared" si="10"/>
        <v>1.8066049910812041E-2</v>
      </c>
      <c r="L64" s="19">
        <f t="shared" si="11"/>
        <v>0.1700327776696165</v>
      </c>
      <c r="M64" s="19">
        <f t="shared" si="12"/>
        <v>0.32884157868564912</v>
      </c>
      <c r="N64" s="85">
        <f t="shared" si="13"/>
        <v>0.45034715879490178</v>
      </c>
      <c r="O64" s="19"/>
      <c r="P64" s="64">
        <f t="shared" si="16"/>
        <v>0.1808657926171221</v>
      </c>
      <c r="Q64" s="12"/>
      <c r="R64" s="12">
        <v>1</v>
      </c>
      <c r="S64" s="12"/>
      <c r="T64" s="65">
        <f t="shared" si="1"/>
        <v>0.1808657926171221</v>
      </c>
      <c r="V64" s="55">
        <f t="shared" si="2"/>
        <v>64.773756644791675</v>
      </c>
      <c r="W64" s="11"/>
      <c r="X64" s="76">
        <f t="shared" si="3"/>
        <v>3.3623204871717223E-2</v>
      </c>
      <c r="Y64" s="77"/>
      <c r="Z64" s="76">
        <f t="shared" si="4"/>
        <v>6.3811793923186436E-3</v>
      </c>
      <c r="AB64" s="74">
        <v>15.557598722</v>
      </c>
      <c r="AC64" s="2">
        <f t="shared" si="17"/>
        <v>12.431645032341947</v>
      </c>
      <c r="AD64" s="2">
        <f t="shared" si="18"/>
        <v>5.5430362940590006E-3</v>
      </c>
      <c r="AE64" s="57">
        <f t="shared" si="7"/>
        <v>6.8909059609129686E-2</v>
      </c>
      <c r="AG64" s="89"/>
    </row>
    <row r="65" spans="9:33" x14ac:dyDescent="0.2">
      <c r="I65" s="56">
        <f t="shared" si="19"/>
        <v>58</v>
      </c>
      <c r="J65" s="19">
        <f t="shared" si="9"/>
        <v>3.0807411032750875E-2</v>
      </c>
      <c r="K65" s="19">
        <f t="shared" si="10"/>
        <v>1.7022680678757441E-2</v>
      </c>
      <c r="L65" s="19">
        <f t="shared" si="11"/>
        <v>0.16542846081847462</v>
      </c>
      <c r="M65" s="19">
        <f t="shared" si="12"/>
        <v>0.33101173232386477</v>
      </c>
      <c r="N65" s="85">
        <f t="shared" si="13"/>
        <v>0.45572971514615135</v>
      </c>
      <c r="O65" s="19"/>
      <c r="P65" s="64">
        <f t="shared" si="16"/>
        <v>0.17552040061699686</v>
      </c>
      <c r="Q65" s="12"/>
      <c r="R65" s="12">
        <v>1</v>
      </c>
      <c r="S65" s="12"/>
      <c r="T65" s="65">
        <f t="shared" si="1"/>
        <v>0.17552040061699686</v>
      </c>
      <c r="V65" s="55">
        <f t="shared" si="2"/>
        <v>61.059967164934399</v>
      </c>
      <c r="W65" s="11"/>
      <c r="X65" s="76">
        <f t="shared" si="3"/>
        <v>3.1474621245185574E-2</v>
      </c>
      <c r="Y65" s="77"/>
      <c r="Z65" s="76">
        <f t="shared" si="4"/>
        <v>6.015315837017492E-3</v>
      </c>
      <c r="AB65" s="74">
        <v>14.784640738</v>
      </c>
      <c r="AC65" s="2">
        <f t="shared" si="17"/>
        <v>11.941297933386169</v>
      </c>
      <c r="AD65" s="2">
        <f t="shared" si="18"/>
        <v>5.3825563512495678E-3</v>
      </c>
      <c r="AE65" s="57">
        <f t="shared" si="7"/>
        <v>6.4274709033511054E-2</v>
      </c>
      <c r="AG65" s="89"/>
    </row>
    <row r="66" spans="9:33" x14ac:dyDescent="0.2">
      <c r="I66" s="58">
        <f t="shared" si="19"/>
        <v>59</v>
      </c>
      <c r="J66" s="86">
        <f t="shared" si="9"/>
        <v>2.9013327082196862E-2</v>
      </c>
      <c r="K66" s="86">
        <f t="shared" si="10"/>
        <v>1.6038858525511509E-2</v>
      </c>
      <c r="L66" s="86">
        <f t="shared" si="11"/>
        <v>0.16088550737427426</v>
      </c>
      <c r="M66" s="86">
        <f t="shared" si="12"/>
        <v>0.33310752257321813</v>
      </c>
      <c r="N66" s="87">
        <f t="shared" si="13"/>
        <v>0.46095478444479832</v>
      </c>
      <c r="O66" s="19"/>
      <c r="P66" s="66">
        <f t="shared" si="16"/>
        <v>0.17033298882540943</v>
      </c>
      <c r="Q66" s="67"/>
      <c r="R66" s="68">
        <v>0.5</v>
      </c>
      <c r="S66" s="67"/>
      <c r="T66" s="69">
        <f t="shared" si="1"/>
        <v>8.5166494412704713E-2</v>
      </c>
      <c r="V66" s="55">
        <f t="shared" si="2"/>
        <v>28.770082684751721</v>
      </c>
      <c r="W66" s="11"/>
      <c r="X66" s="76">
        <f t="shared" si="3"/>
        <v>1.4730281777990108E-2</v>
      </c>
      <c r="Y66" s="77"/>
      <c r="Z66" s="76">
        <f t="shared" si="4"/>
        <v>2.8342814783771379E-3</v>
      </c>
      <c r="AB66" s="75">
        <v>14.011682754000001</v>
      </c>
      <c r="AC66" s="59">
        <f t="shared" si="17"/>
        <v>11.439447444178276</v>
      </c>
      <c r="AD66" s="59">
        <f t="shared" si="18"/>
        <v>5.2250692986469671E-3</v>
      </c>
      <c r="AE66" s="136">
        <f t="shared" si="7"/>
        <v>2.9885952817030711E-2</v>
      </c>
      <c r="AG66" s="89"/>
    </row>
    <row r="67" spans="9:33" x14ac:dyDescent="0.2">
      <c r="P67" s="12"/>
      <c r="Q67" s="12"/>
      <c r="R67" s="12"/>
      <c r="S67" s="12"/>
      <c r="T67" s="12"/>
      <c r="V67" s="11"/>
      <c r="W67" s="11"/>
      <c r="Y67" s="11"/>
    </row>
  </sheetData>
  <mergeCells count="13">
    <mergeCell ref="C16:G16"/>
    <mergeCell ref="A18:A22"/>
    <mergeCell ref="I2:N5"/>
    <mergeCell ref="AH6:AL6"/>
    <mergeCell ref="AH7:AI7"/>
    <mergeCell ref="AJ7:AL7"/>
    <mergeCell ref="V2:AE2"/>
    <mergeCell ref="P2:T2"/>
    <mergeCell ref="AB4:AE4"/>
    <mergeCell ref="V5:V6"/>
    <mergeCell ref="X5:X6"/>
    <mergeCell ref="Z5:Z6"/>
    <mergeCell ref="AE5:AE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73D5E-8C57-D549-956E-135EE3AFF207}">
  <sheetPr codeName="Sheet5"/>
  <dimension ref="A2:AL67"/>
  <sheetViews>
    <sheetView topLeftCell="X3" zoomScale="151" zoomScaleNormal="151" workbookViewId="0">
      <selection activeCell="AE5" sqref="AE5:AE66"/>
    </sheetView>
  </sheetViews>
  <sheetFormatPr baseColWidth="10" defaultRowHeight="16" x14ac:dyDescent="0.2"/>
  <cols>
    <col min="1" max="1" width="10.83203125" style="2"/>
    <col min="2" max="2" width="12.33203125" style="2" customWidth="1"/>
    <col min="3" max="3" width="10.83203125" style="2"/>
    <col min="4" max="4" width="12.33203125" style="2" customWidth="1"/>
    <col min="5" max="6" width="15.1640625" style="2" customWidth="1"/>
    <col min="7" max="7" width="19.33203125" style="2" customWidth="1"/>
    <col min="8" max="8" width="10.83203125" style="2"/>
    <col min="9" max="9" width="10.83203125" style="10"/>
    <col min="10" max="13" width="10.83203125" style="2"/>
    <col min="14" max="14" width="15" style="2" customWidth="1"/>
    <col min="15" max="15" width="3.33203125" style="2" customWidth="1"/>
    <col min="16" max="16" width="14.5" style="2" customWidth="1"/>
    <col min="17" max="17" width="2.33203125" style="2" customWidth="1"/>
    <col min="18" max="18" width="10.83203125" style="2"/>
    <col min="19" max="19" width="2.6640625" style="2" customWidth="1"/>
    <col min="20" max="20" width="14.6640625" style="2" customWidth="1"/>
    <col min="21" max="21" width="1.83203125" style="2" customWidth="1"/>
    <col min="22" max="22" width="15" style="2" customWidth="1"/>
    <col min="23" max="23" width="2.33203125" style="2" customWidth="1"/>
    <col min="24" max="24" width="15" style="52" customWidth="1"/>
    <col min="25" max="25" width="2.1640625" style="2" customWidth="1"/>
    <col min="26" max="26" width="15" style="52" customWidth="1"/>
    <col min="27" max="27" width="2.83203125" style="2" customWidth="1"/>
    <col min="28" max="28" width="13.83203125" style="2" customWidth="1"/>
    <col min="29" max="29" width="15.33203125" style="2" customWidth="1"/>
    <col min="30" max="30" width="19.6640625" style="2" customWidth="1"/>
    <col min="31" max="31" width="15" style="2" customWidth="1"/>
    <col min="32" max="32" width="2.83203125" style="2" customWidth="1"/>
    <col min="33" max="33" width="4.83203125" style="2" customWidth="1"/>
    <col min="34" max="34" width="15.83203125" style="2" customWidth="1"/>
    <col min="35" max="35" width="15.5" style="2" customWidth="1"/>
    <col min="36" max="37" width="10.83203125" style="2"/>
    <col min="38" max="38" width="16.33203125" style="2" customWidth="1"/>
    <col min="39" max="16384" width="10.83203125" style="2"/>
  </cols>
  <sheetData>
    <row r="2" spans="2:38" ht="16" customHeight="1" x14ac:dyDescent="0.2">
      <c r="I2" s="113" t="s">
        <v>5</v>
      </c>
      <c r="J2" s="114"/>
      <c r="K2" s="114"/>
      <c r="L2" s="114"/>
      <c r="M2" s="114"/>
      <c r="N2" s="115"/>
      <c r="O2" s="7"/>
      <c r="P2" s="128" t="s">
        <v>102</v>
      </c>
      <c r="Q2" s="129"/>
      <c r="R2" s="129"/>
      <c r="S2" s="129"/>
      <c r="T2" s="130"/>
      <c r="V2" s="128" t="s">
        <v>108</v>
      </c>
      <c r="W2" s="129"/>
      <c r="X2" s="129"/>
      <c r="Y2" s="129"/>
      <c r="Z2" s="129"/>
      <c r="AA2" s="129"/>
      <c r="AB2" s="129"/>
      <c r="AC2" s="129"/>
      <c r="AD2" s="129"/>
      <c r="AE2" s="130"/>
    </row>
    <row r="3" spans="2:38" x14ac:dyDescent="0.2">
      <c r="I3" s="116"/>
      <c r="J3" s="117"/>
      <c r="K3" s="117"/>
      <c r="L3" s="117"/>
      <c r="M3" s="117"/>
      <c r="N3" s="118"/>
      <c r="O3" s="7"/>
      <c r="P3" s="78"/>
      <c r="Q3" s="79"/>
      <c r="R3" s="79"/>
      <c r="S3" s="79"/>
      <c r="T3" s="80"/>
      <c r="V3" s="78"/>
      <c r="W3" s="79"/>
      <c r="X3" s="79"/>
      <c r="Y3" s="79"/>
      <c r="Z3" s="79"/>
      <c r="AA3" s="79"/>
      <c r="AB3" s="79"/>
      <c r="AC3" s="79"/>
      <c r="AD3" s="79"/>
      <c r="AE3" s="80"/>
    </row>
    <row r="4" spans="2:38" ht="18" customHeight="1" x14ac:dyDescent="0.2">
      <c r="I4" s="116"/>
      <c r="J4" s="117"/>
      <c r="K4" s="117"/>
      <c r="L4" s="117"/>
      <c r="M4" s="117"/>
      <c r="N4" s="118"/>
      <c r="O4" s="7"/>
      <c r="P4" s="56"/>
      <c r="Q4" s="10"/>
      <c r="R4" s="10"/>
      <c r="S4" s="10"/>
      <c r="T4" s="63"/>
      <c r="V4" s="92"/>
      <c r="W4" s="73"/>
      <c r="X4" s="91"/>
      <c r="Y4" s="73"/>
      <c r="Z4" s="91"/>
      <c r="AA4" s="5"/>
      <c r="AB4" s="125" t="s">
        <v>103</v>
      </c>
      <c r="AC4" s="131"/>
      <c r="AD4" s="131"/>
      <c r="AE4" s="126"/>
      <c r="AG4" s="73"/>
    </row>
    <row r="5" spans="2:38" ht="184" customHeight="1" x14ac:dyDescent="0.2">
      <c r="I5" s="119"/>
      <c r="J5" s="120"/>
      <c r="K5" s="120"/>
      <c r="L5" s="120"/>
      <c r="M5" s="120"/>
      <c r="N5" s="121"/>
      <c r="O5" s="7"/>
      <c r="P5" s="70" t="s">
        <v>110</v>
      </c>
      <c r="Q5" s="6"/>
      <c r="R5" s="70" t="s">
        <v>111</v>
      </c>
      <c r="S5" s="7"/>
      <c r="T5" s="70" t="s">
        <v>112</v>
      </c>
      <c r="U5" s="6"/>
      <c r="V5" s="132" t="s">
        <v>97</v>
      </c>
      <c r="W5" s="7"/>
      <c r="X5" s="134" t="s">
        <v>95</v>
      </c>
      <c r="Y5" s="7"/>
      <c r="Z5" s="134" t="s">
        <v>96</v>
      </c>
      <c r="AA5" s="90"/>
      <c r="AB5" s="70" t="s">
        <v>115</v>
      </c>
      <c r="AC5" s="70" t="s">
        <v>113</v>
      </c>
      <c r="AD5" s="70" t="s">
        <v>114</v>
      </c>
      <c r="AE5" s="132" t="s">
        <v>174</v>
      </c>
      <c r="AF5" s="7"/>
      <c r="AG5" s="88"/>
    </row>
    <row r="6" spans="2:38" ht="17" thickBot="1" x14ac:dyDescent="0.25">
      <c r="I6" s="9" t="s">
        <v>8</v>
      </c>
      <c r="J6" s="8" t="s">
        <v>1</v>
      </c>
      <c r="K6" s="8" t="s">
        <v>3</v>
      </c>
      <c r="L6" s="8" t="s">
        <v>17</v>
      </c>
      <c r="M6" s="8" t="s">
        <v>52</v>
      </c>
      <c r="N6" s="8" t="s">
        <v>51</v>
      </c>
      <c r="O6" s="5"/>
      <c r="P6" s="72"/>
      <c r="Q6" s="5"/>
      <c r="R6" s="72"/>
      <c r="S6" s="5"/>
      <c r="T6" s="72"/>
      <c r="U6" s="5"/>
      <c r="V6" s="133"/>
      <c r="W6" s="91"/>
      <c r="X6" s="135"/>
      <c r="Y6" s="91"/>
      <c r="Z6" s="135"/>
      <c r="AA6" s="91"/>
      <c r="AB6" s="71"/>
      <c r="AC6" s="71"/>
      <c r="AD6" s="71"/>
      <c r="AE6" s="133"/>
      <c r="AG6" s="88"/>
      <c r="AH6" s="122" t="s">
        <v>109</v>
      </c>
      <c r="AI6" s="123"/>
      <c r="AJ6" s="123"/>
      <c r="AK6" s="123"/>
      <c r="AL6" s="124"/>
    </row>
    <row r="7" spans="2:38" x14ac:dyDescent="0.2">
      <c r="B7" s="54" t="s">
        <v>9</v>
      </c>
      <c r="I7" s="56">
        <v>0</v>
      </c>
      <c r="J7" s="19">
        <v>1</v>
      </c>
      <c r="K7" s="19">
        <v>0</v>
      </c>
      <c r="L7" s="19">
        <v>0</v>
      </c>
      <c r="M7" s="19">
        <v>0</v>
      </c>
      <c r="N7" s="85">
        <v>0</v>
      </c>
      <c r="O7" s="19"/>
      <c r="P7" s="64">
        <f t="shared" ref="P7:P38" si="0">EXP(-r_Delta_t * I7)</f>
        <v>1</v>
      </c>
      <c r="Q7" s="12"/>
      <c r="R7" s="13">
        <v>0.5</v>
      </c>
      <c r="S7" s="13"/>
      <c r="T7" s="65">
        <f>P7*R7</f>
        <v>0.5</v>
      </c>
      <c r="V7" s="55">
        <f>T7*($E$9*J7+$E$10*K7+$E$11*L7+$E$12*M7*$E$13*N7)</f>
        <v>25</v>
      </c>
      <c r="W7" s="11"/>
      <c r="X7" s="76">
        <f>T7*($F$9*J7+$F$10*K7+$F$11*L7+$F$12*M7+$F$13*N7)</f>
        <v>0.5</v>
      </c>
      <c r="Y7" s="77"/>
      <c r="Z7" s="76">
        <f>T7*($G$9*J7+$G$10*K7+$G$11*L7+$G$12*M7+$G$13*N7)</f>
        <v>0</v>
      </c>
      <c r="AB7" s="74">
        <v>69.107567919999994</v>
      </c>
      <c r="AC7" s="2">
        <f>(1/r_ann)*(1-EXP(-r_ann*AB7))</f>
        <v>29.140692274277946</v>
      </c>
      <c r="AD7" s="2">
        <f>0</f>
        <v>0</v>
      </c>
      <c r="AE7" s="57">
        <f>R7*AC7*AD7</f>
        <v>0</v>
      </c>
      <c r="AG7" s="93"/>
      <c r="AH7" s="125"/>
      <c r="AI7" s="126"/>
      <c r="AJ7" s="127" t="s">
        <v>101</v>
      </c>
      <c r="AK7" s="127"/>
      <c r="AL7" s="127"/>
    </row>
    <row r="8" spans="2:38" ht="17" thickBot="1" x14ac:dyDescent="0.25">
      <c r="C8" s="81" t="s">
        <v>6</v>
      </c>
      <c r="D8" s="81" t="s">
        <v>104</v>
      </c>
      <c r="E8" s="81" t="s">
        <v>105</v>
      </c>
      <c r="F8" s="81" t="s">
        <v>106</v>
      </c>
      <c r="G8" s="81" t="s">
        <v>107</v>
      </c>
      <c r="I8" s="56">
        <f>I7+1</f>
        <v>1</v>
      </c>
      <c r="J8" s="19">
        <f>J7*$C$18+K7*$C$19+L7*$C$20+M7*$C$21+N7*$C$22</f>
        <v>0.94266516199712858</v>
      </c>
      <c r="K8" s="19">
        <f>J7*$D$18+K7*$D$19+L7*$D$20+M7*$D$21+N7*$D$22</f>
        <v>4.4130792231115101E-2</v>
      </c>
      <c r="L8" s="19">
        <f>J7*$E$18+K7*$E$19+L7*$E$20+M7*$E$21+N7*$E$22</f>
        <v>2.7609199376632402E-3</v>
      </c>
      <c r="M8" s="19">
        <f>J7*$F$18+K7*$F$19+L7*$F$20+M7*$F$21+N7*$F$22</f>
        <v>9.9485170055332601E-3</v>
      </c>
      <c r="N8" s="85">
        <f>J7*$G$18+K7*$G$19+L7*$G$20+M7*$G$21+N7*$G$22</f>
        <v>4.9460882855984205E-4</v>
      </c>
      <c r="O8" s="19"/>
      <c r="P8" s="64">
        <f t="shared" si="0"/>
        <v>0.97044553354850815</v>
      </c>
      <c r="Q8" s="12"/>
      <c r="R8" s="12">
        <v>1</v>
      </c>
      <c r="S8" s="12"/>
      <c r="T8" s="65">
        <f t="shared" ref="T8:T66" si="1">P8*R8</f>
        <v>0.97044553354850815</v>
      </c>
      <c r="V8" s="55">
        <f t="shared" ref="V8:V66" si="2">T8*($E$9*J8+$E$10*K8+$E$11*L8+$E$12*M8*$E$13*N8)</f>
        <v>93.925434861218193</v>
      </c>
      <c r="W8" s="11"/>
      <c r="X8" s="76">
        <f t="shared" ref="X8:X66" si="3">T8*($F$9*J8+$F$10*K8+$F$11*L8+$F$12*M8+$F$13*N8)</f>
        <v>0.95763385773149734</v>
      </c>
      <c r="Y8" s="77"/>
      <c r="Z8" s="76">
        <f t="shared" ref="Z8:Z66" si="4">T8*($G$9*J8+$G$10*K8+$G$11*L8+$G$12*M8+$G$13*N8)</f>
        <v>4.7469571322341364E-3</v>
      </c>
      <c r="AB8" s="74">
        <v>68.115914398000001</v>
      </c>
      <c r="AC8" s="2">
        <f t="shared" ref="AC8:AC66" si="5">(1/r_ann)*(1-EXP(-r_ann*AB8))</f>
        <v>29.014088994539382</v>
      </c>
      <c r="AD8" s="19">
        <f t="shared" ref="AD8:AD39" si="6">N8-N7</f>
        <v>4.9460882855984205E-4</v>
      </c>
      <c r="AE8" s="57">
        <f t="shared" ref="AE8:AE66" si="7">R8*AC8*AD8</f>
        <v>1.4350624569320129E-2</v>
      </c>
      <c r="AG8" s="93"/>
      <c r="AH8" s="94" t="s">
        <v>140</v>
      </c>
      <c r="AI8" s="94" t="s">
        <v>117</v>
      </c>
      <c r="AJ8" s="60" t="s">
        <v>118</v>
      </c>
      <c r="AK8" s="60" t="s">
        <v>119</v>
      </c>
      <c r="AL8" s="60" t="s">
        <v>120</v>
      </c>
    </row>
    <row r="9" spans="2:38" x14ac:dyDescent="0.2">
      <c r="C9" s="82" t="s">
        <v>73</v>
      </c>
      <c r="D9" s="82" t="s">
        <v>1</v>
      </c>
      <c r="E9" s="97">
        <f>c_TxA</f>
        <v>50</v>
      </c>
      <c r="F9" s="82">
        <f>uHealthy</f>
        <v>1</v>
      </c>
      <c r="G9" s="82">
        <v>0</v>
      </c>
      <c r="I9" s="56">
        <f t="shared" ref="I9:I10" si="8">I8+1</f>
        <v>2</v>
      </c>
      <c r="J9" s="19">
        <f>J8*$C$18+K8*$C$19+L8*$C$20+M8*$C$21+N8*$C$22</f>
        <v>0.88861760764307263</v>
      </c>
      <c r="K9" s="19">
        <f>J8*$D$18+K8*$D$19+L8*$D$20+M8*$D$21+N8*$D$22</f>
        <v>7.9584285286883494E-2</v>
      </c>
      <c r="L9" s="19">
        <f>J8*$E$18+K8*$E$19+L8*$E$20+M8*$E$21+N8*$E$22</f>
        <v>1.007347583635366E-2</v>
      </c>
      <c r="M9" s="19">
        <f>J8*$F$18+K8*$F$19+L8*$F$20+M8*$F$21+N8*$F$22</f>
        <v>1.978837214607742E-2</v>
      </c>
      <c r="N9" s="85">
        <f>J8*$G$18+K8*$G$19+L8*$G$20+M8*$G$21+N8*$G$22</f>
        <v>1.9362590876128064E-3</v>
      </c>
      <c r="O9" s="19"/>
      <c r="P9" s="64">
        <f t="shared" si="0"/>
        <v>0.94176453358424872</v>
      </c>
      <c r="Q9" s="12"/>
      <c r="R9" s="12">
        <v>1</v>
      </c>
      <c r="S9" s="12"/>
      <c r="T9" s="65">
        <f t="shared" si="1"/>
        <v>0.94176453358424872</v>
      </c>
      <c r="V9" s="55">
        <f t="shared" si="2"/>
        <v>135.76676919886569</v>
      </c>
      <c r="W9" s="11"/>
      <c r="X9" s="76">
        <f t="shared" si="3"/>
        <v>0.9156601950629516</v>
      </c>
      <c r="Y9" s="77"/>
      <c r="Z9" s="76">
        <f t="shared" si="4"/>
        <v>9.2528475199489309E-3</v>
      </c>
      <c r="AB9" s="74">
        <v>67.124260875999994</v>
      </c>
      <c r="AC9" s="2">
        <f t="shared" si="5"/>
        <v>28.883662733006101</v>
      </c>
      <c r="AD9" s="2">
        <f t="shared" si="6"/>
        <v>1.4416502590529645E-3</v>
      </c>
      <c r="AE9" s="57">
        <f t="shared" si="7"/>
        <v>4.1640139861436699E-2</v>
      </c>
      <c r="AG9" s="93"/>
      <c r="AH9" s="61">
        <f>SUM(V7:V66)</f>
        <v>13182.172618073306</v>
      </c>
      <c r="AI9" s="62">
        <f>SUM(X7:X66)</f>
        <v>17.889353620447704</v>
      </c>
      <c r="AJ9" s="62">
        <f>SUM(Z7:Z66)</f>
        <v>1.2435751349555513</v>
      </c>
      <c r="AK9" s="62">
        <f>SUM(AE7:AE66)</f>
        <v>10.148624771382648</v>
      </c>
      <c r="AL9" s="62">
        <f>AJ9+AK9</f>
        <v>11.392199906338199</v>
      </c>
    </row>
    <row r="10" spans="2:38" x14ac:dyDescent="0.2">
      <c r="C10" s="83" t="s">
        <v>73</v>
      </c>
      <c r="D10" s="83" t="s">
        <v>3</v>
      </c>
      <c r="E10" s="83">
        <f>c_Sick</f>
        <v>1000</v>
      </c>
      <c r="F10" s="83">
        <f>uS1_</f>
        <v>0.95</v>
      </c>
      <c r="G10" s="83">
        <f>dwS1_</f>
        <v>9.8514888171639503E-2</v>
      </c>
      <c r="I10" s="56">
        <f t="shared" si="8"/>
        <v>3</v>
      </c>
      <c r="J10" s="19">
        <f t="shared" ref="J10:J66" si="9">J9*$C$18+K9*$C$19+L9*$C$20+M9*$C$21+N9*$C$22</f>
        <v>0.83766886106235794</v>
      </c>
      <c r="K10" s="19">
        <f t="shared" ref="K10:K66" si="10">J9*$D$18+K9*$D$19+L9*$D$20+M9*$D$21+N9*$D$22</f>
        <v>0.10771422816031501</v>
      </c>
      <c r="L10" s="19">
        <f t="shared" ref="L10:L66" si="11">J9*$E$18+K9*$E$19+L9*$E$20+M9*$E$21+N9*$E$22</f>
        <v>2.08208858307872E-2</v>
      </c>
      <c r="M10" s="19">
        <f t="shared" ref="M10:M66" si="12">J9*$F$18+K9*$F$19+L9*$F$20+M9*$F$21+N9*$F$22</f>
        <v>2.9511419183964313E-2</v>
      </c>
      <c r="N10" s="85">
        <f t="shared" ref="N10:N66" si="13">J9*$G$18+K9*$G$19+L9*$G$20+M9*$G$21+N9*$G$22</f>
        <v>4.2846057625756055E-3</v>
      </c>
      <c r="O10" s="19"/>
      <c r="P10" s="64">
        <f t="shared" si="0"/>
        <v>0.91393118527122819</v>
      </c>
      <c r="Q10" s="12"/>
      <c r="R10" s="12">
        <v>1</v>
      </c>
      <c r="S10" s="12"/>
      <c r="T10" s="65">
        <f t="shared" si="1"/>
        <v>0.91393118527122819</v>
      </c>
      <c r="V10" s="55">
        <f t="shared" si="2"/>
        <v>174.77969069736477</v>
      </c>
      <c r="W10" s="11"/>
      <c r="X10" s="76">
        <f t="shared" si="3"/>
        <v>0.87431600315057878</v>
      </c>
      <c r="Y10" s="77"/>
      <c r="Z10" s="76">
        <f t="shared" si="4"/>
        <v>1.3447391187436274E-2</v>
      </c>
      <c r="AB10" s="74">
        <v>66.132607354000001</v>
      </c>
      <c r="AC10" s="2">
        <f t="shared" si="5"/>
        <v>28.749298048831442</v>
      </c>
      <c r="AD10" s="2">
        <f t="shared" si="6"/>
        <v>2.348346674962799E-3</v>
      </c>
      <c r="AE10" s="57">
        <f t="shared" si="7"/>
        <v>6.7513318480487805E-2</v>
      </c>
      <c r="AG10" s="89"/>
      <c r="AH10" s="5"/>
    </row>
    <row r="11" spans="2:38" x14ac:dyDescent="0.2">
      <c r="C11" s="83" t="s">
        <v>73</v>
      </c>
      <c r="D11" s="83" t="s">
        <v>17</v>
      </c>
      <c r="E11" s="83">
        <f>c_Sicker</f>
        <v>2000</v>
      </c>
      <c r="F11" s="83">
        <f>uS2_</f>
        <v>0.8</v>
      </c>
      <c r="G11" s="83">
        <f>dwS2_</f>
        <v>0.19702977634327901</v>
      </c>
      <c r="I11" s="56">
        <f>I10+1</f>
        <v>4</v>
      </c>
      <c r="J11" s="19">
        <f t="shared" si="9"/>
        <v>0.78964125261329787</v>
      </c>
      <c r="K11" s="19">
        <f t="shared" si="10"/>
        <v>0.12967748581806948</v>
      </c>
      <c r="L11" s="19">
        <f t="shared" si="11"/>
        <v>3.4077439346035354E-2</v>
      </c>
      <c r="M11" s="19">
        <f t="shared" si="12"/>
        <v>3.9110023294890377E-2</v>
      </c>
      <c r="N11" s="85">
        <f t="shared" si="13"/>
        <v>7.4937989277070417E-3</v>
      </c>
      <c r="O11" s="19"/>
      <c r="P11" s="64">
        <f t="shared" si="0"/>
        <v>0.88692043671715748</v>
      </c>
      <c r="Q11" s="12"/>
      <c r="R11" s="12">
        <v>1</v>
      </c>
      <c r="S11" s="12"/>
      <c r="T11" s="65">
        <f t="shared" si="1"/>
        <v>0.88692043671715748</v>
      </c>
      <c r="V11" s="55">
        <f t="shared" si="2"/>
        <v>210.4790153590049</v>
      </c>
      <c r="W11" s="11"/>
      <c r="X11" s="76">
        <f t="shared" si="3"/>
        <v>0.83379107826369792</v>
      </c>
      <c r="Y11" s="77"/>
      <c r="Z11" s="76">
        <f t="shared" si="4"/>
        <v>1.7285576664047498E-2</v>
      </c>
      <c r="AB11" s="74">
        <v>65.140953831999994</v>
      </c>
      <c r="AC11" s="2">
        <f t="shared" si="5"/>
        <v>28.610876015253876</v>
      </c>
      <c r="AD11" s="2">
        <f t="shared" si="6"/>
        <v>3.2091931651314362E-3</v>
      </c>
      <c r="AE11" s="57">
        <f t="shared" si="7"/>
        <v>9.1817827756575682E-2</v>
      </c>
      <c r="AG11" s="89"/>
      <c r="AH11" s="5"/>
    </row>
    <row r="12" spans="2:38" x14ac:dyDescent="0.2">
      <c r="C12" s="83" t="s">
        <v>73</v>
      </c>
      <c r="D12" s="83" t="s">
        <v>52</v>
      </c>
      <c r="E12" s="83">
        <f>c_DeadBG</f>
        <v>0</v>
      </c>
      <c r="F12" s="83">
        <f>uDeadBG</f>
        <v>0</v>
      </c>
      <c r="G12" s="83">
        <f>0</f>
        <v>0</v>
      </c>
      <c r="I12" s="56">
        <f>I11+1</f>
        <v>5</v>
      </c>
      <c r="J12" s="19">
        <f t="shared" si="9"/>
        <v>0.74436729931432999</v>
      </c>
      <c r="K12" s="19">
        <f t="shared" si="10"/>
        <v>0.14646194046255467</v>
      </c>
      <c r="L12" s="19">
        <f t="shared" si="11"/>
        <v>4.9079539166020508E-2</v>
      </c>
      <c r="M12" s="19">
        <f t="shared" si="12"/>
        <v>4.8577102349062692E-2</v>
      </c>
      <c r="N12" s="85">
        <f t="shared" si="13"/>
        <v>1.151411870803231E-2</v>
      </c>
      <c r="O12" s="19"/>
      <c r="P12" s="64">
        <f t="shared" si="0"/>
        <v>0.86070797642505781</v>
      </c>
      <c r="Q12" s="12"/>
      <c r="R12" s="12">
        <v>1</v>
      </c>
      <c r="S12" s="12"/>
      <c r="T12" s="65">
        <f t="shared" si="1"/>
        <v>0.86070797642505781</v>
      </c>
      <c r="V12" s="55">
        <f t="shared" si="2"/>
        <v>242.58140567322363</v>
      </c>
      <c r="W12" s="11"/>
      <c r="X12" s="76">
        <f t="shared" si="3"/>
        <v>0.79423530496026229</v>
      </c>
      <c r="Y12" s="77"/>
      <c r="Z12" s="76">
        <f t="shared" si="4"/>
        <v>2.0742039978432689E-2</v>
      </c>
      <c r="AB12" s="74">
        <v>64.149300310000001</v>
      </c>
      <c r="AC12" s="2">
        <f t="shared" si="5"/>
        <v>28.468274114334424</v>
      </c>
      <c r="AD12" s="2">
        <f t="shared" si="6"/>
        <v>4.0203197803252684E-3</v>
      </c>
      <c r="AE12" s="57">
        <f t="shared" si="7"/>
        <v>0.11445156553358049</v>
      </c>
      <c r="AG12" s="89"/>
      <c r="AH12" s="5"/>
    </row>
    <row r="13" spans="2:38" x14ac:dyDescent="0.2">
      <c r="C13" s="83" t="s">
        <v>73</v>
      </c>
      <c r="D13" s="83" t="s">
        <v>51</v>
      </c>
      <c r="E13" s="83">
        <f>c_DeadDisease</f>
        <v>0</v>
      </c>
      <c r="F13" s="83">
        <f>uDeadDisease</f>
        <v>0</v>
      </c>
      <c r="G13" s="83">
        <f>0</f>
        <v>0</v>
      </c>
      <c r="I13" s="56">
        <f t="shared" ref="I13:I66" si="14">I12+1</f>
        <v>6</v>
      </c>
      <c r="J13" s="19">
        <f t="shared" si="9"/>
        <v>0.70168912079350798</v>
      </c>
      <c r="K13" s="19">
        <f t="shared" si="10"/>
        <v>0.15891047902848973</v>
      </c>
      <c r="L13" s="19">
        <f t="shared" si="11"/>
        <v>6.5200923501741642E-2</v>
      </c>
      <c r="M13" s="19">
        <f t="shared" si="12"/>
        <v>5.7906152980460437E-2</v>
      </c>
      <c r="N13" s="85">
        <f t="shared" si="13"/>
        <v>1.6293323695800416E-2</v>
      </c>
      <c r="O13" s="19"/>
      <c r="P13" s="64">
        <f t="shared" si="0"/>
        <v>0.835270211411272</v>
      </c>
      <c r="Q13" s="12"/>
      <c r="R13" s="12">
        <v>1</v>
      </c>
      <c r="S13" s="12"/>
      <c r="T13" s="65">
        <f t="shared" si="1"/>
        <v>0.835270211411272</v>
      </c>
      <c r="V13" s="55">
        <f t="shared" si="2"/>
        <v>270.95896874212212</v>
      </c>
      <c r="W13" s="11"/>
      <c r="X13" s="76">
        <f t="shared" si="3"/>
        <v>0.75576486153910427</v>
      </c>
      <c r="Y13" s="77"/>
      <c r="Z13" s="76">
        <f t="shared" si="4"/>
        <v>2.3806513607017288E-2</v>
      </c>
      <c r="AB13" s="74">
        <v>63.158695668</v>
      </c>
      <c r="AC13" s="2">
        <f t="shared" si="5"/>
        <v>28.321523834599102</v>
      </c>
      <c r="AD13" s="2">
        <f t="shared" si="6"/>
        <v>4.7792049877681056E-3</v>
      </c>
      <c r="AE13" s="57">
        <f t="shared" si="7"/>
        <v>0.13535436797150932</v>
      </c>
      <c r="AG13" s="89"/>
    </row>
    <row r="14" spans="2:38" x14ac:dyDescent="0.2">
      <c r="I14" s="56">
        <f t="shared" si="14"/>
        <v>7</v>
      </c>
      <c r="J14" s="19">
        <f t="shared" si="9"/>
        <v>0.66145788872443489</v>
      </c>
      <c r="K14" s="19">
        <f t="shared" si="10"/>
        <v>0.16774161363792015</v>
      </c>
      <c r="L14" s="19">
        <f t="shared" si="11"/>
        <v>8.1931476953122973E-2</v>
      </c>
      <c r="M14" s="19">
        <f t="shared" si="12"/>
        <v>6.7091264223641506E-2</v>
      </c>
      <c r="N14" s="85">
        <f t="shared" si="13"/>
        <v>2.177775646088068E-2</v>
      </c>
      <c r="O14" s="19"/>
      <c r="P14" s="64">
        <f t="shared" si="0"/>
        <v>0.81058424597018708</v>
      </c>
      <c r="Q14" s="12"/>
      <c r="R14" s="12">
        <v>1</v>
      </c>
      <c r="S14" s="12"/>
      <c r="T14" s="65">
        <f t="shared" si="1"/>
        <v>0.81058424597018708</v>
      </c>
      <c r="V14" s="55">
        <f t="shared" si="2"/>
        <v>295.6018055416942</v>
      </c>
      <c r="W14" s="11"/>
      <c r="X14" s="76">
        <f t="shared" si="3"/>
        <v>0.71846750948463489</v>
      </c>
      <c r="Y14" s="77"/>
      <c r="Z14" s="76">
        <f t="shared" si="4"/>
        <v>2.6480155519636825E-2</v>
      </c>
      <c r="AB14" s="74">
        <v>62.168091025999999</v>
      </c>
      <c r="AC14" s="2">
        <f t="shared" si="5"/>
        <v>28.17034696031828</v>
      </c>
      <c r="AD14" s="2">
        <f t="shared" si="6"/>
        <v>5.4844327650802639E-3</v>
      </c>
      <c r="AE14" s="57">
        <f t="shared" si="7"/>
        <v>0.15449837387284879</v>
      </c>
      <c r="AG14" s="89"/>
    </row>
    <row r="15" spans="2:38" x14ac:dyDescent="0.2">
      <c r="B15" s="53" t="s">
        <v>98</v>
      </c>
      <c r="I15" s="56">
        <f t="shared" si="14"/>
        <v>8</v>
      </c>
      <c r="J15" s="19">
        <f t="shared" si="9"/>
        <v>0.62353330782869809</v>
      </c>
      <c r="K15" s="19">
        <f t="shared" si="10"/>
        <v>0.17356720549349824</v>
      </c>
      <c r="L15" s="19">
        <f t="shared" si="11"/>
        <v>9.8859122121559895E-2</v>
      </c>
      <c r="M15" s="19">
        <f t="shared" si="12"/>
        <v>7.6127121067871284E-2</v>
      </c>
      <c r="N15" s="85">
        <f t="shared" si="13"/>
        <v>2.7913243488372711E-2</v>
      </c>
      <c r="O15" s="19"/>
      <c r="P15" s="64">
        <f t="shared" si="0"/>
        <v>0.78662786106655347</v>
      </c>
      <c r="Q15" s="12"/>
      <c r="R15" s="12">
        <v>1</v>
      </c>
      <c r="S15" s="12"/>
      <c r="T15" s="65">
        <f t="shared" si="1"/>
        <v>0.78662786106655347</v>
      </c>
      <c r="V15" s="55">
        <f t="shared" si="2"/>
        <v>316.58791278350128</v>
      </c>
      <c r="W15" s="11"/>
      <c r="X15" s="76">
        <f t="shared" si="3"/>
        <v>0.68240710369437851</v>
      </c>
      <c r="Y15" s="77"/>
      <c r="Z15" s="76">
        <f t="shared" si="4"/>
        <v>2.877260098959528E-2</v>
      </c>
      <c r="AB15" s="74">
        <v>61.177486383999998</v>
      </c>
      <c r="AC15" s="2">
        <f t="shared" si="5"/>
        <v>28.01460996711771</v>
      </c>
      <c r="AD15" s="2">
        <f t="shared" si="6"/>
        <v>6.1354870274920315E-3</v>
      </c>
      <c r="AE15" s="57">
        <f t="shared" si="7"/>
        <v>0.17188327603349968</v>
      </c>
      <c r="AG15" s="89"/>
    </row>
    <row r="16" spans="2:38" x14ac:dyDescent="0.2">
      <c r="C16" s="111" t="s">
        <v>99</v>
      </c>
      <c r="D16" s="111"/>
      <c r="E16" s="111"/>
      <c r="F16" s="111"/>
      <c r="G16" s="111"/>
      <c r="I16" s="56">
        <f t="shared" si="14"/>
        <v>9</v>
      </c>
      <c r="J16" s="19">
        <f t="shared" si="9"/>
        <v>0.58778312663494514</v>
      </c>
      <c r="K16" s="19">
        <f t="shared" si="10"/>
        <v>0.17690769707102932</v>
      </c>
      <c r="L16" s="19">
        <f t="shared" si="11"/>
        <v>0.11565435492030753</v>
      </c>
      <c r="M16" s="19">
        <f t="shared" si="12"/>
        <v>8.5008999911163174E-2</v>
      </c>
      <c r="N16" s="85">
        <f t="shared" si="13"/>
        <v>3.4645821462555126E-2</v>
      </c>
      <c r="O16" s="19"/>
      <c r="P16" s="64">
        <f t="shared" si="0"/>
        <v>0.76337949433685315</v>
      </c>
      <c r="Q16" s="12"/>
      <c r="R16" s="12">
        <v>1</v>
      </c>
      <c r="S16" s="12"/>
      <c r="T16" s="65">
        <f t="shared" si="1"/>
        <v>0.76337949433685315</v>
      </c>
      <c r="V16" s="55">
        <f t="shared" si="2"/>
        <v>334.05911358773415</v>
      </c>
      <c r="W16" s="11"/>
      <c r="X16" s="76">
        <f t="shared" si="3"/>
        <v>0.64762743928951494</v>
      </c>
      <c r="Y16" s="77"/>
      <c r="Z16" s="76">
        <f t="shared" si="4"/>
        <v>3.0699606889498968E-2</v>
      </c>
      <c r="AB16" s="74">
        <v>60.186881741999997</v>
      </c>
      <c r="AC16" s="2">
        <f t="shared" si="5"/>
        <v>27.854175302976561</v>
      </c>
      <c r="AD16" s="2">
        <f t="shared" si="6"/>
        <v>6.7325779741824153E-3</v>
      </c>
      <c r="AE16" s="57">
        <f t="shared" si="7"/>
        <v>0.18753040713383579</v>
      </c>
      <c r="AG16" s="89"/>
    </row>
    <row r="17" spans="1:33" x14ac:dyDescent="0.2">
      <c r="C17" s="2" t="s">
        <v>1</v>
      </c>
      <c r="D17" s="2" t="s">
        <v>3</v>
      </c>
      <c r="E17" s="2" t="s">
        <v>17</v>
      </c>
      <c r="F17" s="2" t="s">
        <v>52</v>
      </c>
      <c r="G17" s="2" t="s">
        <v>51</v>
      </c>
      <c r="I17" s="56">
        <f t="shared" si="14"/>
        <v>10</v>
      </c>
      <c r="J17" s="19">
        <f t="shared" si="9"/>
        <v>0.55408267628850927</v>
      </c>
      <c r="K17" s="19">
        <f t="shared" si="10"/>
        <v>0.17820520099850479</v>
      </c>
      <c r="L17" s="19">
        <f t="shared" si="11"/>
        <v>0.13205704796066051</v>
      </c>
      <c r="M17" s="19">
        <f t="shared" si="12"/>
        <v>9.3732757583240373E-2</v>
      </c>
      <c r="N17" s="85">
        <f t="shared" si="13"/>
        <v>4.1922317169085323E-2</v>
      </c>
      <c r="O17" s="19"/>
      <c r="P17" s="64">
        <f t="shared" si="0"/>
        <v>0.74081822068171788</v>
      </c>
      <c r="Q17" s="12"/>
      <c r="R17" s="12">
        <v>1</v>
      </c>
      <c r="S17" s="12"/>
      <c r="T17" s="65">
        <f t="shared" si="1"/>
        <v>0.74081822068171788</v>
      </c>
      <c r="V17" s="55">
        <f t="shared" si="2"/>
        <v>348.20192163526468</v>
      </c>
      <c r="W17" s="11"/>
      <c r="X17" s="76">
        <f t="shared" si="3"/>
        <v>0.61415553312151827</v>
      </c>
      <c r="Y17" s="77"/>
      <c r="Z17" s="76">
        <f t="shared" si="4"/>
        <v>3.2281180689159875E-2</v>
      </c>
      <c r="AB17" s="74">
        <v>59.196277100000003</v>
      </c>
      <c r="AC17" s="2">
        <f t="shared" si="5"/>
        <v>27.688901266736913</v>
      </c>
      <c r="AD17" s="2">
        <f t="shared" si="6"/>
        <v>7.2764957065301963E-3</v>
      </c>
      <c r="AE17" s="57">
        <f t="shared" si="7"/>
        <v>0.20147817118594966</v>
      </c>
      <c r="AG17" s="89"/>
    </row>
    <row r="18" spans="1:33" x14ac:dyDescent="0.2">
      <c r="A18" s="112" t="s">
        <v>100</v>
      </c>
      <c r="B18" s="2" t="s">
        <v>1</v>
      </c>
      <c r="C18" s="84" cm="1">
        <f t="array" ref="C18:G22">mP_TxA</f>
        <v>0.94266516199712858</v>
      </c>
      <c r="D18" s="84">
        <v>4.4130792231115101E-2</v>
      </c>
      <c r="E18" s="84">
        <v>2.7609199376632402E-3</v>
      </c>
      <c r="F18" s="84">
        <v>9.9485170055332601E-3</v>
      </c>
      <c r="G18" s="84">
        <v>4.9460882855984205E-4</v>
      </c>
      <c r="I18" s="56">
        <f t="shared" si="14"/>
        <v>11</v>
      </c>
      <c r="J18" s="19">
        <f t="shared" si="9"/>
        <v>0.52231443580331016</v>
      </c>
      <c r="K18" s="19">
        <f t="shared" si="10"/>
        <v>0.17783474540599217</v>
      </c>
      <c r="L18" s="19">
        <f t="shared" si="11"/>
        <v>0.14786519915235319</v>
      </c>
      <c r="M18" s="19">
        <f t="shared" si="12"/>
        <v>0.10229481533884077</v>
      </c>
      <c r="N18" s="85">
        <f t="shared" si="13"/>
        <v>4.9690804299503954E-2</v>
      </c>
      <c r="O18" s="19"/>
      <c r="P18" s="64">
        <f t="shared" si="0"/>
        <v>0.71892373343192617</v>
      </c>
      <c r="Q18" s="12"/>
      <c r="R18" s="12">
        <v>1</v>
      </c>
      <c r="S18" s="12"/>
      <c r="T18" s="65">
        <f t="shared" si="1"/>
        <v>0.71892373343192617</v>
      </c>
      <c r="V18" s="55">
        <f t="shared" si="2"/>
        <v>359.23243335037739</v>
      </c>
      <c r="W18" s="11"/>
      <c r="X18" s="76">
        <f t="shared" si="3"/>
        <v>0.58200442317465018</v>
      </c>
      <c r="Y18" s="77"/>
      <c r="Z18" s="76">
        <f t="shared" si="4"/>
        <v>3.3540105067806858E-2</v>
      </c>
      <c r="AB18" s="74">
        <v>58.207544407999997</v>
      </c>
      <c r="AC18" s="2">
        <f t="shared" si="5"/>
        <v>27.518968418129546</v>
      </c>
      <c r="AD18" s="2">
        <f t="shared" si="6"/>
        <v>7.7684871304186318E-3</v>
      </c>
      <c r="AE18" s="57">
        <f t="shared" si="7"/>
        <v>0.21378075199863616</v>
      </c>
      <c r="AG18" s="89"/>
    </row>
    <row r="19" spans="1:33" x14ac:dyDescent="0.2">
      <c r="A19" s="112"/>
      <c r="B19" s="2" t="s">
        <v>3</v>
      </c>
      <c r="C19" s="84">
        <v>0</v>
      </c>
      <c r="D19" s="84">
        <v>0.86070797642505803</v>
      </c>
      <c r="E19" s="84">
        <v>0.109179777520653</v>
      </c>
      <c r="F19" s="84">
        <v>9.8495952398212992E-3</v>
      </c>
      <c r="G19" s="84">
        <v>2.0262650814467702E-2</v>
      </c>
      <c r="I19" s="56">
        <f t="shared" si="14"/>
        <v>12</v>
      </c>
      <c r="J19" s="19">
        <f t="shared" si="9"/>
        <v>0.49236762223996616</v>
      </c>
      <c r="K19" s="19">
        <f t="shared" si="10"/>
        <v>0.17611393370220491</v>
      </c>
      <c r="L19" s="19">
        <f t="shared" si="11"/>
        <v>0.16292534804214287</v>
      </c>
      <c r="M19" s="19">
        <f t="shared" si="12"/>
        <v>0.1106921389946455</v>
      </c>
      <c r="N19" s="85">
        <f t="shared" si="13"/>
        <v>5.7900957021040804E-2</v>
      </c>
      <c r="O19" s="19"/>
      <c r="P19" s="64">
        <f t="shared" si="0"/>
        <v>0.69767632607103103</v>
      </c>
      <c r="Q19" s="12"/>
      <c r="R19" s="12">
        <v>1</v>
      </c>
      <c r="S19" s="12"/>
      <c r="T19" s="65">
        <f t="shared" si="1"/>
        <v>0.69767632607103103</v>
      </c>
      <c r="V19" s="55">
        <f t="shared" si="2"/>
        <v>367.38450041507946</v>
      </c>
      <c r="W19" s="11"/>
      <c r="X19" s="76">
        <f t="shared" si="3"/>
        <v>0.55117555648092575</v>
      </c>
      <c r="Y19" s="77"/>
      <c r="Z19" s="76">
        <f t="shared" si="4"/>
        <v>3.4500784583914472E-2</v>
      </c>
      <c r="AB19" s="74">
        <v>57.218811715999998</v>
      </c>
      <c r="AC19" s="2">
        <f t="shared" si="5"/>
        <v>27.343919523710113</v>
      </c>
      <c r="AD19" s="2">
        <f t="shared" si="6"/>
        <v>8.2101527215368494E-3</v>
      </c>
      <c r="AE19" s="57">
        <f t="shared" si="7"/>
        <v>0.22449775529507318</v>
      </c>
      <c r="AG19" s="89"/>
    </row>
    <row r="20" spans="1:33" x14ac:dyDescent="0.2">
      <c r="A20" s="112"/>
      <c r="B20" s="2" t="s">
        <v>17</v>
      </c>
      <c r="C20" s="84">
        <v>0</v>
      </c>
      <c r="D20" s="84">
        <v>0</v>
      </c>
      <c r="E20" s="84">
        <v>0.96078943915232318</v>
      </c>
      <c r="F20" s="84">
        <v>9.8026402119192006E-3</v>
      </c>
      <c r="G20" s="84">
        <v>2.94079206357576E-2</v>
      </c>
      <c r="I20" s="56">
        <f t="shared" si="14"/>
        <v>13</v>
      </c>
      <c r="J20" s="19">
        <f t="shared" si="9"/>
        <v>0.46413780438097874</v>
      </c>
      <c r="K20" s="19">
        <f t="shared" si="10"/>
        <v>0.17331124073548171</v>
      </c>
      <c r="L20" s="19">
        <f t="shared" si="11"/>
        <v>0.17712442145390345</v>
      </c>
      <c r="M20" s="19">
        <f t="shared" si="12"/>
        <v>0.11892221618879206</v>
      </c>
      <c r="N20" s="85">
        <f t="shared" si="13"/>
        <v>6.6504317240844324E-2</v>
      </c>
      <c r="O20" s="19"/>
      <c r="P20" s="64">
        <f t="shared" si="0"/>
        <v>0.67705687449816465</v>
      </c>
      <c r="Q20" s="12"/>
      <c r="R20" s="12">
        <v>1</v>
      </c>
      <c r="S20" s="12"/>
      <c r="T20" s="65">
        <f t="shared" si="1"/>
        <v>0.67705687449816465</v>
      </c>
      <c r="V20" s="55">
        <f t="shared" si="2"/>
        <v>372.90056590004656</v>
      </c>
      <c r="W20" s="11"/>
      <c r="X20" s="76">
        <f t="shared" si="3"/>
        <v>0.52166082553950244</v>
      </c>
      <c r="Y20" s="77"/>
      <c r="Z20" s="76">
        <f t="shared" si="4"/>
        <v>3.5188353741090667E-2</v>
      </c>
      <c r="AB20" s="74">
        <v>56.230079023999998</v>
      </c>
      <c r="AC20" s="2">
        <f t="shared" si="5"/>
        <v>27.163600558374192</v>
      </c>
      <c r="AD20" s="2">
        <f t="shared" si="6"/>
        <v>8.60336021980352E-3</v>
      </c>
      <c r="AE20" s="57">
        <f t="shared" si="7"/>
        <v>0.23369824047054921</v>
      </c>
      <c r="AG20" s="89"/>
    </row>
    <row r="21" spans="1:33" x14ac:dyDescent="0.2">
      <c r="A21" s="112"/>
      <c r="B21" s="2" t="s">
        <v>52</v>
      </c>
      <c r="C21" s="84">
        <v>0</v>
      </c>
      <c r="D21" s="84">
        <v>0</v>
      </c>
      <c r="E21" s="84">
        <v>0</v>
      </c>
      <c r="F21" s="84">
        <v>1</v>
      </c>
      <c r="G21" s="84">
        <v>0</v>
      </c>
      <c r="I21" s="56">
        <f t="shared" si="14"/>
        <v>14</v>
      </c>
      <c r="J21" s="19">
        <f t="shared" si="9"/>
        <v>0.43752653855578688</v>
      </c>
      <c r="K21" s="19">
        <f t="shared" si="10"/>
        <v>0.16965313631689546</v>
      </c>
      <c r="L21" s="19">
        <f t="shared" si="11"/>
        <v>0.19038280357214252</v>
      </c>
      <c r="M21" s="19">
        <f t="shared" si="12"/>
        <v>0.12698303157659979</v>
      </c>
      <c r="N21" s="85">
        <f t="shared" si="13"/>
        <v>7.5454489978575623E-2</v>
      </c>
      <c r="O21" s="19"/>
      <c r="P21" s="64">
        <f t="shared" si="0"/>
        <v>0.65704681981505675</v>
      </c>
      <c r="Q21" s="12"/>
      <c r="R21" s="12">
        <v>1</v>
      </c>
      <c r="S21" s="12"/>
      <c r="T21" s="65">
        <f t="shared" si="1"/>
        <v>0.65704681981505675</v>
      </c>
      <c r="V21" s="55">
        <f t="shared" si="2"/>
        <v>376.02465599490671</v>
      </c>
      <c r="W21" s="11"/>
      <c r="X21" s="76">
        <f t="shared" si="3"/>
        <v>0.49344430425464342</v>
      </c>
      <c r="Y21" s="77"/>
      <c r="Z21" s="76">
        <f t="shared" si="4"/>
        <v>3.5627996488788997E-2</v>
      </c>
      <c r="AB21" s="74">
        <v>55.241346331999999</v>
      </c>
      <c r="AC21" s="2">
        <f t="shared" si="5"/>
        <v>26.977852859894536</v>
      </c>
      <c r="AD21" s="2">
        <f t="shared" si="6"/>
        <v>8.950172737731299E-3</v>
      </c>
      <c r="AE21" s="57">
        <f t="shared" si="7"/>
        <v>0.24145644318915443</v>
      </c>
      <c r="AG21" s="89"/>
    </row>
    <row r="22" spans="1:33" x14ac:dyDescent="0.2">
      <c r="A22" s="112"/>
      <c r="B22" s="2" t="s">
        <v>51</v>
      </c>
      <c r="C22" s="84">
        <v>0</v>
      </c>
      <c r="D22" s="84">
        <v>0</v>
      </c>
      <c r="E22" s="84">
        <v>0</v>
      </c>
      <c r="F22" s="84">
        <v>0</v>
      </c>
      <c r="G22" s="84">
        <v>1</v>
      </c>
      <c r="I22" s="56">
        <f t="shared" si="14"/>
        <v>15</v>
      </c>
      <c r="J22" s="19">
        <f t="shared" si="9"/>
        <v>0.41244102534573374</v>
      </c>
      <c r="K22" s="19">
        <f t="shared" si="10"/>
        <v>0.16533020042208402</v>
      </c>
      <c r="L22" s="19">
        <f t="shared" si="11"/>
        <v>0.20264845449064084</v>
      </c>
      <c r="M22" s="19">
        <f t="shared" si="12"/>
        <v>0.13487304063563599</v>
      </c>
      <c r="N22" s="85">
        <f t="shared" si="13"/>
        <v>8.4707279105905683E-2</v>
      </c>
      <c r="O22" s="19"/>
      <c r="P22" s="64">
        <f t="shared" si="0"/>
        <v>0.63762815162177333</v>
      </c>
      <c r="Q22" s="12"/>
      <c r="R22" s="12">
        <v>1</v>
      </c>
      <c r="S22" s="12"/>
      <c r="T22" s="65">
        <f t="shared" si="1"/>
        <v>0.63762815162177333</v>
      </c>
      <c r="V22" s="55">
        <f t="shared" si="2"/>
        <v>376.99710946635292</v>
      </c>
      <c r="W22" s="11"/>
      <c r="X22" s="76">
        <f t="shared" si="3"/>
        <v>0.46650372681416147</v>
      </c>
      <c r="Y22" s="77"/>
      <c r="Z22" s="76">
        <f t="shared" si="4"/>
        <v>3.5844436069983505E-2</v>
      </c>
      <c r="AB22" s="74">
        <v>54.25261364</v>
      </c>
      <c r="AC22" s="2">
        <f t="shared" si="5"/>
        <v>26.786512989314577</v>
      </c>
      <c r="AD22" s="2">
        <f t="shared" si="6"/>
        <v>9.2527891273300605E-3</v>
      </c>
      <c r="AE22" s="57">
        <f t="shared" si="7"/>
        <v>0.24784995614661537</v>
      </c>
      <c r="AG22" s="89"/>
    </row>
    <row r="23" spans="1:33" x14ac:dyDescent="0.2">
      <c r="I23" s="56">
        <f t="shared" si="14"/>
        <v>16</v>
      </c>
      <c r="J23" s="19">
        <f t="shared" si="9"/>
        <v>0.38879378597179792</v>
      </c>
      <c r="K23" s="19">
        <f t="shared" si="10"/>
        <v>0.16050237144436186</v>
      </c>
      <c r="L23" s="19">
        <f t="shared" si="11"/>
        <v>0.21389192608466331</v>
      </c>
      <c r="M23" s="19">
        <f t="shared" si="12"/>
        <v>0.1425911426340169</v>
      </c>
      <c r="N23" s="85">
        <f t="shared" si="13"/>
        <v>9.4220773865160312E-2</v>
      </c>
      <c r="O23" s="19"/>
      <c r="P23" s="64">
        <f t="shared" si="0"/>
        <v>0.61878339180614084</v>
      </c>
      <c r="Q23" s="12"/>
      <c r="R23" s="12">
        <v>1</v>
      </c>
      <c r="S23" s="12"/>
      <c r="T23" s="65">
        <f t="shared" si="1"/>
        <v>0.61878339180614084</v>
      </c>
      <c r="V23" s="55">
        <f t="shared" si="2"/>
        <v>376.05070168034291</v>
      </c>
      <c r="W23" s="11"/>
      <c r="X23" s="76">
        <f t="shared" si="3"/>
        <v>0.44081174650438071</v>
      </c>
      <c r="Y23" s="77"/>
      <c r="Z23" s="76">
        <f t="shared" si="4"/>
        <v>3.5861561481066749E-2</v>
      </c>
      <c r="AB23" s="74">
        <v>53.265569534000001</v>
      </c>
      <c r="AC23" s="2">
        <f t="shared" si="5"/>
        <v>26.589754209190609</v>
      </c>
      <c r="AD23" s="2">
        <f t="shared" si="6"/>
        <v>9.5134947592546287E-3</v>
      </c>
      <c r="AE23" s="57">
        <f t="shared" si="7"/>
        <v>0.25296148731900359</v>
      </c>
      <c r="AG23" s="89"/>
    </row>
    <row r="24" spans="1:33" x14ac:dyDescent="0.2">
      <c r="I24" s="56">
        <f t="shared" si="14"/>
        <v>17</v>
      </c>
      <c r="J24" s="19">
        <f t="shared" si="9"/>
        <v>0.36650235723658181</v>
      </c>
      <c r="K24" s="19">
        <f t="shared" si="10"/>
        <v>0.15530344912676977</v>
      </c>
      <c r="L24" s="19">
        <f t="shared" si="11"/>
        <v>0.22410214542325557</v>
      </c>
      <c r="M24" s="19">
        <f t="shared" si="12"/>
        <v>0.15013665321480377</v>
      </c>
      <c r="N24" s="85">
        <f t="shared" si="13"/>
        <v>0.10395539499858937</v>
      </c>
      <c r="O24" s="19"/>
      <c r="P24" s="64">
        <f t="shared" si="0"/>
        <v>0.6004955788122659</v>
      </c>
      <c r="Q24" s="12"/>
      <c r="R24" s="12">
        <v>1</v>
      </c>
      <c r="S24" s="12"/>
      <c r="T24" s="65">
        <f t="shared" si="1"/>
        <v>0.6004955788122659</v>
      </c>
      <c r="V24" s="55">
        <f t="shared" si="2"/>
        <v>373.40788189017979</v>
      </c>
      <c r="W24" s="11"/>
      <c r="X24" s="76">
        <f t="shared" si="3"/>
        <v>0.41633700601422269</v>
      </c>
      <c r="Y24" s="77"/>
      <c r="Z24" s="76">
        <f t="shared" si="4"/>
        <v>3.5702162897773941E-2</v>
      </c>
      <c r="AB24" s="74">
        <v>52.278525428000002</v>
      </c>
      <c r="AC24" s="2">
        <f t="shared" si="5"/>
        <v>26.387082021408954</v>
      </c>
      <c r="AD24" s="2">
        <f t="shared" si="6"/>
        <v>9.7346211334290583E-3</v>
      </c>
      <c r="AE24" s="57">
        <f t="shared" si="7"/>
        <v>0.25686824629513355</v>
      </c>
      <c r="AG24" s="89"/>
    </row>
    <row r="25" spans="1:33" x14ac:dyDescent="0.2">
      <c r="I25" s="56">
        <f t="shared" si="14"/>
        <v>18</v>
      </c>
      <c r="J25" s="19">
        <f t="shared" si="9"/>
        <v>0.34548900395675186</v>
      </c>
      <c r="K25" s="19">
        <f t="shared" si="10"/>
        <v>0.14984495680915547</v>
      </c>
      <c r="L25" s="19">
        <f t="shared" si="11"/>
        <v>0.2332828543031879</v>
      </c>
      <c r="M25" s="19">
        <f t="shared" si="12"/>
        <v>0.15750927696389017</v>
      </c>
      <c r="N25" s="85">
        <f t="shared" si="13"/>
        <v>0.11387390796701487</v>
      </c>
      <c r="O25" s="19"/>
      <c r="P25" s="64">
        <f t="shared" si="0"/>
        <v>0.58274825237398964</v>
      </c>
      <c r="Q25" s="12"/>
      <c r="R25" s="12">
        <v>1</v>
      </c>
      <c r="S25" s="12"/>
      <c r="T25" s="65">
        <f t="shared" si="1"/>
        <v>0.58274825237398964</v>
      </c>
      <c r="V25" s="55">
        <f t="shared" si="2"/>
        <v>369.27889367910024</v>
      </c>
      <c r="W25" s="11"/>
      <c r="X25" s="76">
        <f t="shared" si="3"/>
        <v>0.39304504616563829</v>
      </c>
      <c r="Y25" s="77"/>
      <c r="Z25" s="76">
        <f t="shared" si="4"/>
        <v>3.5387753457990091E-2</v>
      </c>
      <c r="AB25" s="74">
        <v>51.291481322000003</v>
      </c>
      <c r="AC25" s="2">
        <f t="shared" si="5"/>
        <v>26.178318703836414</v>
      </c>
      <c r="AD25" s="2">
        <f t="shared" si="6"/>
        <v>9.9185129684254969E-3</v>
      </c>
      <c r="AE25" s="57">
        <f t="shared" si="7"/>
        <v>0.25964999355557722</v>
      </c>
      <c r="AG25" s="89"/>
    </row>
    <row r="26" spans="1:33" x14ac:dyDescent="0.2">
      <c r="I26" s="56">
        <f t="shared" si="14"/>
        <v>19</v>
      </c>
      <c r="J26" s="19">
        <f t="shared" si="9"/>
        <v>0.32568044788311806</v>
      </c>
      <c r="K26" s="19">
        <f t="shared" si="10"/>
        <v>0.14421945300445876</v>
      </c>
      <c r="L26" s="19">
        <f t="shared" si="11"/>
        <v>0.2414496092760961</v>
      </c>
      <c r="M26" s="19">
        <f t="shared" si="12"/>
        <v>0.16470908025662107</v>
      </c>
      <c r="N26" s="85">
        <f t="shared" si="13"/>
        <v>0.12394140957970629</v>
      </c>
      <c r="O26" s="19"/>
      <c r="P26" s="64">
        <f t="shared" si="0"/>
        <v>0.56552543869953709</v>
      </c>
      <c r="Q26" s="12"/>
      <c r="R26" s="12">
        <v>1</v>
      </c>
      <c r="S26" s="12"/>
      <c r="T26" s="65">
        <f t="shared" si="1"/>
        <v>0.56552543869953709</v>
      </c>
      <c r="V26" s="55">
        <f t="shared" si="2"/>
        <v>363.8605907569941</v>
      </c>
      <c r="W26" s="11"/>
      <c r="X26" s="76">
        <f t="shared" si="3"/>
        <v>0.37089907609060502</v>
      </c>
      <c r="Y26" s="77"/>
      <c r="Z26" s="76">
        <f t="shared" si="4"/>
        <v>3.49384589554265E-2</v>
      </c>
      <c r="AB26" s="74">
        <v>50.304437215999997</v>
      </c>
      <c r="AC26" s="2">
        <f t="shared" si="5"/>
        <v>25.963281193061409</v>
      </c>
      <c r="AD26" s="2">
        <f t="shared" si="6"/>
        <v>1.0067501612691418E-2</v>
      </c>
      <c r="AE26" s="57">
        <f t="shared" si="7"/>
        <v>0.26138537528190647</v>
      </c>
      <c r="AG26" s="89"/>
    </row>
    <row r="27" spans="1:33" x14ac:dyDescent="0.2">
      <c r="I27" s="56">
        <f t="shared" si="14"/>
        <v>20</v>
      </c>
      <c r="J27" s="19">
        <f t="shared" si="9"/>
        <v>0.3070076121630369</v>
      </c>
      <c r="K27" s="19">
        <f t="shared" si="10"/>
        <v>0.13850336973586286</v>
      </c>
      <c r="L27" s="19">
        <f t="shared" si="11"/>
        <v>0.2486272601149726</v>
      </c>
      <c r="M27" s="19">
        <f t="shared" si="12"/>
        <v>0.17173646461760034</v>
      </c>
      <c r="N27" s="85">
        <f t="shared" si="13"/>
        <v>0.1341252933685276</v>
      </c>
      <c r="O27" s="19"/>
      <c r="P27" s="64">
        <f t="shared" si="0"/>
        <v>0.54881163609402639</v>
      </c>
      <c r="Q27" s="12"/>
      <c r="R27" s="12">
        <v>1</v>
      </c>
      <c r="S27" s="12"/>
      <c r="T27" s="65">
        <f t="shared" si="1"/>
        <v>0.54881163609402639</v>
      </c>
      <c r="V27" s="55">
        <f t="shared" si="2"/>
        <v>357.33579524804702</v>
      </c>
      <c r="W27" s="11"/>
      <c r="X27" s="76">
        <f t="shared" si="3"/>
        <v>0.34986062454734623</v>
      </c>
      <c r="Y27" s="77"/>
      <c r="Z27" s="76">
        <f t="shared" si="4"/>
        <v>3.4372960435288917E-2</v>
      </c>
      <c r="AB27" s="74">
        <v>49.317393109999998</v>
      </c>
      <c r="AC27" s="2">
        <f t="shared" si="5"/>
        <v>25.741780923866642</v>
      </c>
      <c r="AD27" s="2">
        <f t="shared" si="6"/>
        <v>1.0183883788821319E-2</v>
      </c>
      <c r="AE27" s="57">
        <f t="shared" si="7"/>
        <v>0.26215130544595538</v>
      </c>
      <c r="AG27" s="89"/>
    </row>
    <row r="28" spans="1:33" x14ac:dyDescent="0.2">
      <c r="I28" s="56">
        <f t="shared" si="14"/>
        <v>21</v>
      </c>
      <c r="J28" s="19">
        <f t="shared" si="9"/>
        <v>0.28940538045402081</v>
      </c>
      <c r="K28" s="19">
        <f t="shared" si="10"/>
        <v>0.1327594442391439</v>
      </c>
      <c r="L28" s="19">
        <f t="shared" si="11"/>
        <v>0.25484783633490088</v>
      </c>
      <c r="M28" s="19">
        <f t="shared" si="12"/>
        <v>0.17859214077706437</v>
      </c>
      <c r="N28" s="85">
        <f t="shared" si="13"/>
        <v>0.1443951981948704</v>
      </c>
      <c r="O28" s="19"/>
      <c r="P28" s="64">
        <f t="shared" si="0"/>
        <v>0.53259180100689718</v>
      </c>
      <c r="Q28" s="12"/>
      <c r="R28" s="12">
        <v>1</v>
      </c>
      <c r="S28" s="12"/>
      <c r="T28" s="65">
        <f t="shared" si="1"/>
        <v>0.53259180100689718</v>
      </c>
      <c r="V28" s="55">
        <f t="shared" si="2"/>
        <v>349.87307442048672</v>
      </c>
      <c r="W28" s="11"/>
      <c r="X28" s="76">
        <f t="shared" si="3"/>
        <v>0.3298900892387463</v>
      </c>
      <c r="Y28" s="77"/>
      <c r="Z28" s="76">
        <f t="shared" si="4"/>
        <v>3.3708477517409512E-2</v>
      </c>
      <c r="AB28" s="74">
        <v>48.340578602000001</v>
      </c>
      <c r="AC28" s="2">
        <f t="shared" si="5"/>
        <v>25.516023070275882</v>
      </c>
      <c r="AD28" s="2">
        <f t="shared" si="6"/>
        <v>1.0269904826342796E-2</v>
      </c>
      <c r="AE28" s="57">
        <f t="shared" si="7"/>
        <v>0.26204712847850042</v>
      </c>
      <c r="AG28" s="89"/>
    </row>
    <row r="29" spans="1:33" x14ac:dyDescent="0.2">
      <c r="I29" s="56">
        <f t="shared" si="14"/>
        <v>22</v>
      </c>
      <c r="J29" s="19">
        <f t="shared" si="9"/>
        <v>0.27281236984853013</v>
      </c>
      <c r="K29" s="19">
        <f t="shared" si="10"/>
        <v>0.12703880131777209</v>
      </c>
      <c r="L29" s="19">
        <f t="shared" si="11"/>
        <v>0.26014878141215025</v>
      </c>
      <c r="M29" s="19">
        <f t="shared" si="12"/>
        <v>0.1852771035644003</v>
      </c>
      <c r="N29" s="85">
        <f t="shared" si="13"/>
        <v>0.15472294385714755</v>
      </c>
      <c r="O29" s="19"/>
      <c r="P29" s="64">
        <f t="shared" si="0"/>
        <v>0.51685133449169929</v>
      </c>
      <c r="Q29" s="12"/>
      <c r="R29" s="12">
        <v>1</v>
      </c>
      <c r="S29" s="12"/>
      <c r="T29" s="65">
        <f t="shared" si="1"/>
        <v>0.51685133449169929</v>
      </c>
      <c r="V29" s="55">
        <f t="shared" si="2"/>
        <v>341.62683554293761</v>
      </c>
      <c r="W29" s="11"/>
      <c r="X29" s="76">
        <f t="shared" si="3"/>
        <v>0.31094719858711378</v>
      </c>
      <c r="Y29" s="77"/>
      <c r="Z29" s="76">
        <f t="shared" si="4"/>
        <v>3.2960782606471048E-2</v>
      </c>
      <c r="AB29" s="74">
        <v>47.363764093999997</v>
      </c>
      <c r="AC29" s="2">
        <f t="shared" si="5"/>
        <v>25.283551621664117</v>
      </c>
      <c r="AD29" s="2">
        <f t="shared" si="6"/>
        <v>1.0327745662277149E-2</v>
      </c>
      <c r="AE29" s="57">
        <f t="shared" si="7"/>
        <v>0.26112209058760194</v>
      </c>
      <c r="AG29" s="89"/>
    </row>
    <row r="30" spans="1:33" x14ac:dyDescent="0.2">
      <c r="I30" s="56">
        <f t="shared" si="14"/>
        <v>23</v>
      </c>
      <c r="J30" s="19">
        <f t="shared" si="9"/>
        <v>0.25717071681808523</v>
      </c>
      <c r="K30" s="19">
        <f t="shared" si="10"/>
        <v>0.12138273562154822</v>
      </c>
      <c r="L30" s="19">
        <f t="shared" si="11"/>
        <v>0.26457148296466093</v>
      </c>
      <c r="M30" s="19">
        <f t="shared" si="12"/>
        <v>0.1917926077436429</v>
      </c>
      <c r="N30" s="85">
        <f t="shared" si="13"/>
        <v>0.16508245685206308</v>
      </c>
      <c r="O30" s="19"/>
      <c r="P30" s="64">
        <f t="shared" si="0"/>
        <v>0.50157606906605556</v>
      </c>
      <c r="Q30" s="12"/>
      <c r="R30" s="12">
        <v>1</v>
      </c>
      <c r="S30" s="12"/>
      <c r="T30" s="65">
        <f t="shared" si="1"/>
        <v>0.50157606906605556</v>
      </c>
      <c r="V30" s="55">
        <f t="shared" si="2"/>
        <v>332.73765807134924</v>
      </c>
      <c r="W30" s="11"/>
      <c r="X30" s="76">
        <f t="shared" si="3"/>
        <v>0.29299139836669158</v>
      </c>
      <c r="Y30" s="77"/>
      <c r="Z30" s="76">
        <f t="shared" si="4"/>
        <v>3.2144238068314041E-2</v>
      </c>
      <c r="AB30" s="74">
        <v>46.386949586</v>
      </c>
      <c r="AC30" s="2">
        <f t="shared" si="5"/>
        <v>25.044166928905561</v>
      </c>
      <c r="AD30" s="2">
        <f t="shared" si="6"/>
        <v>1.0359512994915526E-2</v>
      </c>
      <c r="AE30" s="57">
        <f t="shared" si="7"/>
        <v>0.25944537274683083</v>
      </c>
      <c r="AG30" s="89"/>
    </row>
    <row r="31" spans="1:33" x14ac:dyDescent="0.2">
      <c r="I31" s="56">
        <f t="shared" si="14"/>
        <v>24</v>
      </c>
      <c r="J31" s="19">
        <f t="shared" si="9"/>
        <v>0.242425875430238</v>
      </c>
      <c r="K31" s="19">
        <f t="shared" si="10"/>
        <v>0.11582423622158644</v>
      </c>
      <c r="L31" s="19">
        <f t="shared" si="11"/>
        <v>0.26816005456277009</v>
      </c>
      <c r="M31" s="19">
        <f t="shared" si="12"/>
        <v>0.19814014486604378</v>
      </c>
      <c r="N31" s="85">
        <f t="shared" si="13"/>
        <v>0.17544968891936208</v>
      </c>
      <c r="O31" s="19"/>
      <c r="P31" s="64">
        <f t="shared" si="0"/>
        <v>0.48675225595997168</v>
      </c>
      <c r="Q31" s="12"/>
      <c r="R31" s="12">
        <v>1</v>
      </c>
      <c r="S31" s="12"/>
      <c r="T31" s="65">
        <f t="shared" si="1"/>
        <v>0.48675225595997168</v>
      </c>
      <c r="V31" s="55">
        <f t="shared" si="2"/>
        <v>323.33279839768971</v>
      </c>
      <c r="W31" s="11"/>
      <c r="X31" s="76">
        <f t="shared" si="3"/>
        <v>0.27598217384407431</v>
      </c>
      <c r="Y31" s="77"/>
      <c r="Z31" s="76">
        <f t="shared" si="4"/>
        <v>3.127185002694912E-2</v>
      </c>
      <c r="AB31" s="74">
        <v>45.410135078000003</v>
      </c>
      <c r="AC31" s="2">
        <f t="shared" si="5"/>
        <v>24.797663405701709</v>
      </c>
      <c r="AD31" s="2">
        <f t="shared" si="6"/>
        <v>1.0367232067299004E-2</v>
      </c>
      <c r="AE31" s="57">
        <f t="shared" si="7"/>
        <v>0.25708313125367777</v>
      </c>
      <c r="AG31" s="89"/>
    </row>
    <row r="32" spans="1:33" x14ac:dyDescent="0.2">
      <c r="I32" s="56">
        <f t="shared" si="14"/>
        <v>25</v>
      </c>
      <c r="J32" s="19">
        <f t="shared" si="9"/>
        <v>0.228526427134741</v>
      </c>
      <c r="K32" s="19">
        <f t="shared" si="10"/>
        <v>0.1103892899193176</v>
      </c>
      <c r="L32" s="19">
        <f t="shared" si="11"/>
        <v>0.27096033120147339</v>
      </c>
      <c r="M32" s="19">
        <f t="shared" si="12"/>
        <v>0.20432142119017432</v>
      </c>
      <c r="N32" s="85">
        <f t="shared" si="13"/>
        <v>0.18580253055429402</v>
      </c>
      <c r="O32" s="19"/>
      <c r="P32" s="64">
        <f t="shared" si="0"/>
        <v>0.47236655274101469</v>
      </c>
      <c r="Q32" s="12"/>
      <c r="R32" s="12">
        <v>1</v>
      </c>
      <c r="S32" s="12"/>
      <c r="T32" s="65">
        <f t="shared" si="1"/>
        <v>0.47236655274101469</v>
      </c>
      <c r="V32" s="55">
        <f t="shared" si="2"/>
        <v>313.52681552691655</v>
      </c>
      <c r="W32" s="11"/>
      <c r="X32" s="76">
        <f t="shared" si="3"/>
        <v>0.25987931658100183</v>
      </c>
      <c r="Y32" s="77"/>
      <c r="Z32" s="76">
        <f t="shared" si="4"/>
        <v>3.0355333727913124E-2</v>
      </c>
      <c r="AB32" s="74">
        <v>44.433320569999999</v>
      </c>
      <c r="AC32" s="2">
        <f t="shared" si="5"/>
        <v>24.543829352021412</v>
      </c>
      <c r="AD32" s="2">
        <f t="shared" si="6"/>
        <v>1.0352841634931942E-2</v>
      </c>
      <c r="AE32" s="57">
        <f t="shared" si="7"/>
        <v>0.25409837839627192</v>
      </c>
      <c r="AG32" s="89"/>
    </row>
    <row r="33" spans="9:33" x14ac:dyDescent="0.2">
      <c r="I33" s="56">
        <f t="shared" si="14"/>
        <v>26</v>
      </c>
      <c r="J33" s="19">
        <f t="shared" si="9"/>
        <v>0.21542390145559562</v>
      </c>
      <c r="K33" s="19">
        <f t="shared" si="10"/>
        <v>0.10509799462065722</v>
      </c>
      <c r="L33" s="19">
        <f t="shared" si="11"/>
        <v>0.27301904593060455</v>
      </c>
      <c r="M33" s="19">
        <f t="shared" si="12"/>
        <v>0.21033833669972513</v>
      </c>
      <c r="N33" s="85">
        <f t="shared" si="13"/>
        <v>0.19612072129341779</v>
      </c>
      <c r="O33" s="19"/>
      <c r="P33" s="64">
        <f t="shared" si="0"/>
        <v>0.45840601130522352</v>
      </c>
      <c r="Q33" s="12"/>
      <c r="R33" s="12">
        <v>1</v>
      </c>
      <c r="S33" s="12"/>
      <c r="T33" s="65">
        <f t="shared" si="1"/>
        <v>0.45840601130522352</v>
      </c>
      <c r="V33" s="55">
        <f t="shared" si="2"/>
        <v>303.42227679134885</v>
      </c>
      <c r="W33" s="11"/>
      <c r="X33" s="76">
        <f t="shared" si="3"/>
        <v>0.24464314377511562</v>
      </c>
      <c r="Y33" s="77"/>
      <c r="Z33" s="76">
        <f t="shared" si="4"/>
        <v>2.9405186469162077E-2</v>
      </c>
      <c r="AB33" s="74">
        <v>43.473604029999997</v>
      </c>
      <c r="AC33" s="2">
        <f t="shared" si="5"/>
        <v>24.287088134884517</v>
      </c>
      <c r="AD33" s="2">
        <f t="shared" si="6"/>
        <v>1.0318190739123767E-2</v>
      </c>
      <c r="AE33" s="57">
        <f t="shared" si="7"/>
        <v>0.25059880787364813</v>
      </c>
      <c r="AG33" s="89"/>
    </row>
    <row r="34" spans="9:33" x14ac:dyDescent="0.2">
      <c r="I34" s="56">
        <f t="shared" si="14"/>
        <v>27</v>
      </c>
      <c r="J34" s="19">
        <f t="shared" si="9"/>
        <v>0.2030726069636925</v>
      </c>
      <c r="K34" s="19">
        <f t="shared" si="10"/>
        <v>9.9965509713030615E-2</v>
      </c>
      <c r="L34" s="19">
        <f t="shared" si="11"/>
        <v>0.27438315983269601</v>
      </c>
      <c r="M34" s="19">
        <f t="shared" si="12"/>
        <v>0.216192965232544</v>
      </c>
      <c r="N34" s="85">
        <f t="shared" si="13"/>
        <v>0.20638575825803718</v>
      </c>
      <c r="O34" s="19"/>
      <c r="P34" s="64">
        <f t="shared" si="0"/>
        <v>0.44485806622294116</v>
      </c>
      <c r="Q34" s="12"/>
      <c r="R34" s="12">
        <v>1</v>
      </c>
      <c r="S34" s="12"/>
      <c r="T34" s="65">
        <f t="shared" si="1"/>
        <v>0.44485806622294116</v>
      </c>
      <c r="V34" s="55">
        <f t="shared" si="2"/>
        <v>293.11051147639211</v>
      </c>
      <c r="W34" s="11"/>
      <c r="X34" s="76">
        <f t="shared" si="3"/>
        <v>0.23023467691950325</v>
      </c>
      <c r="Y34" s="77"/>
      <c r="Z34" s="76">
        <f t="shared" si="4"/>
        <v>2.8430764961642794E-2</v>
      </c>
      <c r="AB34" s="74">
        <v>42.513887490000002</v>
      </c>
      <c r="AC34" s="2">
        <f t="shared" si="5"/>
        <v>24.022847512466388</v>
      </c>
      <c r="AD34" s="2">
        <f t="shared" si="6"/>
        <v>1.026503696461939E-2</v>
      </c>
      <c r="AE34" s="57">
        <f t="shared" si="7"/>
        <v>0.24659541771088242</v>
      </c>
      <c r="AG34" s="89"/>
    </row>
    <row r="35" spans="9:33" x14ac:dyDescent="0.2">
      <c r="I35" s="56">
        <f t="shared" si="14"/>
        <v>28</v>
      </c>
      <c r="J35" s="19">
        <f t="shared" si="9"/>
        <v>0.19142947194060841</v>
      </c>
      <c r="K35" s="19">
        <f t="shared" si="10"/>
        <v>9.5002866603147676E-2</v>
      </c>
      <c r="L35" s="19">
        <f t="shared" si="11"/>
        <v>0.27509932156806488</v>
      </c>
      <c r="M35" s="19">
        <f t="shared" si="12"/>
        <v>0.22188753572094549</v>
      </c>
      <c r="N35" s="85">
        <f t="shared" si="13"/>
        <v>0.21658080416723383</v>
      </c>
      <c r="O35" s="19"/>
      <c r="P35" s="64">
        <f t="shared" si="0"/>
        <v>0.43171052342907973</v>
      </c>
      <c r="Q35" s="12"/>
      <c r="R35" s="12">
        <v>1</v>
      </c>
      <c r="S35" s="12"/>
      <c r="T35" s="65">
        <f t="shared" si="1"/>
        <v>0.43171052342907973</v>
      </c>
      <c r="V35" s="55">
        <f t="shared" si="2"/>
        <v>282.67238736333758</v>
      </c>
      <c r="W35" s="11"/>
      <c r="X35" s="76">
        <f t="shared" si="3"/>
        <v>0.21661578562362213</v>
      </c>
      <c r="Y35" s="77"/>
      <c r="Z35" s="76">
        <f t="shared" si="4"/>
        <v>2.7440364681966718E-2</v>
      </c>
      <c r="AB35" s="74">
        <v>41.55417095</v>
      </c>
      <c r="AC35" s="2">
        <f t="shared" si="5"/>
        <v>23.75088842730441</v>
      </c>
      <c r="AD35" s="2">
        <f t="shared" si="6"/>
        <v>1.0195045909196648E-2</v>
      </c>
      <c r="AE35" s="57">
        <f t="shared" si="7"/>
        <v>0.24214139790057584</v>
      </c>
      <c r="AG35" s="89"/>
    </row>
    <row r="36" spans="9:33" x14ac:dyDescent="0.2">
      <c r="I36" s="56">
        <f t="shared" si="14"/>
        <v>29</v>
      </c>
      <c r="J36" s="19">
        <f t="shared" si="9"/>
        <v>0.18045389417791841</v>
      </c>
      <c r="K36" s="19">
        <f t="shared" si="10"/>
        <v>9.0217659321698035E-2</v>
      </c>
      <c r="L36" s="19">
        <f t="shared" si="11"/>
        <v>0.2752134361658588</v>
      </c>
      <c r="M36" s="19">
        <f t="shared" si="12"/>
        <v>0.22742441453244544</v>
      </c>
      <c r="N36" s="85">
        <f t="shared" si="13"/>
        <v>0.22669059580207965</v>
      </c>
      <c r="O36" s="19"/>
      <c r="P36" s="64">
        <f t="shared" si="0"/>
        <v>0.418951549247639</v>
      </c>
      <c r="Q36" s="12"/>
      <c r="R36" s="12">
        <v>1</v>
      </c>
      <c r="S36" s="12"/>
      <c r="T36" s="65">
        <f t="shared" si="1"/>
        <v>0.418951549247639</v>
      </c>
      <c r="V36" s="55">
        <f t="shared" si="2"/>
        <v>272.17909097990702</v>
      </c>
      <c r="W36" s="11"/>
      <c r="X36" s="76">
        <f t="shared" si="3"/>
        <v>0.20374930163317567</v>
      </c>
      <c r="Y36" s="77"/>
      <c r="Z36" s="76">
        <f t="shared" si="4"/>
        <v>2.6441299347406359E-2</v>
      </c>
      <c r="AB36" s="74">
        <v>40.594454409999997</v>
      </c>
      <c r="AC36" s="2">
        <f t="shared" si="5"/>
        <v>23.470985423272339</v>
      </c>
      <c r="AD36" s="2">
        <f t="shared" si="6"/>
        <v>1.0109791634845822E-2</v>
      </c>
      <c r="AE36" s="57">
        <f t="shared" si="7"/>
        <v>0.2372867720937869</v>
      </c>
      <c r="AG36" s="89"/>
    </row>
    <row r="37" spans="9:33" x14ac:dyDescent="0.2">
      <c r="I37" s="56">
        <f t="shared" si="14"/>
        <v>30</v>
      </c>
      <c r="J37" s="19">
        <f t="shared" si="9"/>
        <v>0.17010759938824016</v>
      </c>
      <c r="K37" s="19">
        <f t="shared" si="10"/>
        <v>8.5614632303845334E-2</v>
      </c>
      <c r="L37" s="19">
        <f t="shared" si="11"/>
        <v>0.27477032570842103</v>
      </c>
      <c r="M37" s="19">
        <f t="shared" si="12"/>
        <v>0.23280608889141188</v>
      </c>
      <c r="N37" s="85">
        <f t="shared" si="13"/>
        <v>0.23670135370808193</v>
      </c>
      <c r="O37" s="19"/>
      <c r="P37" s="64">
        <f t="shared" si="0"/>
        <v>0.40656965974059917</v>
      </c>
      <c r="Q37" s="12"/>
      <c r="R37" s="12">
        <v>1</v>
      </c>
      <c r="S37" s="12"/>
      <c r="T37" s="65">
        <f t="shared" si="1"/>
        <v>0.40656965974059917</v>
      </c>
      <c r="V37" s="55">
        <f t="shared" si="2"/>
        <v>261.69289702489192</v>
      </c>
      <c r="W37" s="11"/>
      <c r="X37" s="76">
        <f t="shared" si="3"/>
        <v>0.19159910739499741</v>
      </c>
      <c r="Y37" s="77"/>
      <c r="Z37" s="76">
        <f t="shared" si="4"/>
        <v>2.5439979102131121E-2</v>
      </c>
      <c r="AB37" s="74">
        <v>39.634737870000002</v>
      </c>
      <c r="AC37" s="2">
        <f t="shared" si="5"/>
        <v>23.182906458675454</v>
      </c>
      <c r="AD37" s="2">
        <f t="shared" si="6"/>
        <v>1.0010757906002282E-2</v>
      </c>
      <c r="AE37" s="57">
        <f t="shared" si="7"/>
        <v>0.23207846411529667</v>
      </c>
      <c r="AG37" s="89"/>
    </row>
    <row r="38" spans="9:33" x14ac:dyDescent="0.2">
      <c r="I38" s="56">
        <f t="shared" si="14"/>
        <v>31</v>
      </c>
      <c r="J38" s="19">
        <f t="shared" si="9"/>
        <v>0.16035450773425805</v>
      </c>
      <c r="K38" s="19">
        <f t="shared" si="10"/>
        <v>8.1196180048154307E-2</v>
      </c>
      <c r="L38" s="19">
        <f t="shared" si="11"/>
        <v>0.27381346710324039</v>
      </c>
      <c r="M38" s="19">
        <f t="shared" si="12"/>
        <v>0.23803515135532674</v>
      </c>
      <c r="N38" s="85">
        <f t="shared" si="13"/>
        <v>0.24660069375902086</v>
      </c>
      <c r="O38" s="19"/>
      <c r="P38" s="64">
        <f t="shared" si="0"/>
        <v>0.39455371037160114</v>
      </c>
      <c r="Q38" s="12"/>
      <c r="R38" s="12">
        <v>1</v>
      </c>
      <c r="S38" s="12"/>
      <c r="T38" s="65">
        <f t="shared" si="1"/>
        <v>0.39455371037160114</v>
      </c>
      <c r="V38" s="55">
        <f t="shared" si="2"/>
        <v>251.26791619665971</v>
      </c>
      <c r="W38" s="11"/>
      <c r="X38" s="76">
        <f t="shared" si="3"/>
        <v>0.18013020291829965</v>
      </c>
      <c r="Y38" s="77"/>
      <c r="Z38" s="76">
        <f t="shared" si="4"/>
        <v>2.4441986372589045E-2</v>
      </c>
      <c r="AB38" s="74">
        <v>38.690766486000001</v>
      </c>
      <c r="AC38" s="2">
        <f t="shared" si="5"/>
        <v>22.89134620046298</v>
      </c>
      <c r="AD38" s="2">
        <f t="shared" si="6"/>
        <v>9.8993400509389262E-3</v>
      </c>
      <c r="AE38" s="57">
        <f t="shared" si="7"/>
        <v>0.2266092202621518</v>
      </c>
      <c r="AG38" s="89"/>
    </row>
    <row r="39" spans="9:33" x14ac:dyDescent="0.2">
      <c r="I39" s="56">
        <f t="shared" si="14"/>
        <v>32</v>
      </c>
      <c r="J39" s="19">
        <f t="shared" si="9"/>
        <v>0.15116060801028416</v>
      </c>
      <c r="K39" s="19">
        <f t="shared" si="10"/>
        <v>7.6962771286834847E-2</v>
      </c>
      <c r="L39" s="19">
        <f t="shared" si="11"/>
        <v>0.27238479432115748</v>
      </c>
      <c r="M39" s="19">
        <f t="shared" si="12"/>
        <v>0.24311428531412013</v>
      </c>
      <c r="N39" s="85">
        <f t="shared" si="13"/>
        <v>0.25637754106760369</v>
      </c>
      <c r="O39" s="19"/>
      <c r="P39" s="64">
        <f t="shared" ref="P39:P66" si="15">EXP(-r_Delta_t * I39)</f>
        <v>0.38289288597511206</v>
      </c>
      <c r="Q39" s="12"/>
      <c r="R39" s="12">
        <v>1</v>
      </c>
      <c r="S39" s="12"/>
      <c r="T39" s="65">
        <f t="shared" si="1"/>
        <v>0.38289288597511206</v>
      </c>
      <c r="V39" s="55">
        <f t="shared" si="2"/>
        <v>240.9508136697298</v>
      </c>
      <c r="W39" s="11"/>
      <c r="X39" s="76">
        <f t="shared" si="3"/>
        <v>0.16930875417162833</v>
      </c>
      <c r="Y39" s="77"/>
      <c r="Z39" s="76">
        <f t="shared" si="4"/>
        <v>2.3452148645294241E-2</v>
      </c>
      <c r="AB39" s="74">
        <v>37.746795102</v>
      </c>
      <c r="AC39" s="2">
        <f t="shared" si="5"/>
        <v>22.591411182723778</v>
      </c>
      <c r="AD39" s="2">
        <f t="shared" si="6"/>
        <v>9.7768473085828311E-3</v>
      </c>
      <c r="AE39" s="57">
        <f t="shared" si="7"/>
        <v>0.22087277761890103</v>
      </c>
      <c r="AG39" s="89"/>
    </row>
    <row r="40" spans="9:33" x14ac:dyDescent="0.2">
      <c r="I40" s="56">
        <f t="shared" si="14"/>
        <v>33</v>
      </c>
      <c r="J40" s="19">
        <f t="shared" si="9"/>
        <v>0.14249383903759896</v>
      </c>
      <c r="K40" s="19">
        <f t="shared" si="10"/>
        <v>7.2913308519987063E-2</v>
      </c>
      <c r="L40" s="19">
        <f t="shared" si="11"/>
        <v>0.27052455435236022</v>
      </c>
      <c r="M40" s="19">
        <f t="shared" si="12"/>
        <v>0.24804625147711537</v>
      </c>
      <c r="N40" s="85">
        <f t="shared" si="13"/>
        <v>0.26602204661293866</v>
      </c>
      <c r="O40" s="19"/>
      <c r="P40" s="64">
        <f t="shared" si="15"/>
        <v>0.37157669102204571</v>
      </c>
      <c r="Q40" s="12"/>
      <c r="R40" s="12">
        <v>1</v>
      </c>
      <c r="S40" s="12"/>
      <c r="T40" s="65">
        <f t="shared" si="1"/>
        <v>0.37157669102204571</v>
      </c>
      <c r="V40" s="55">
        <f t="shared" si="2"/>
        <v>230.78149286428439</v>
      </c>
      <c r="W40" s="11"/>
      <c r="X40" s="76">
        <f t="shared" si="3"/>
        <v>0.15910212581354991</v>
      </c>
      <c r="Y40" s="77"/>
      <c r="Z40" s="76">
        <f t="shared" si="4"/>
        <v>2.2474607655305037E-2</v>
      </c>
      <c r="AB40" s="74">
        <v>36.802823717999999</v>
      </c>
      <c r="AC40" s="2">
        <f t="shared" si="5"/>
        <v>22.282860849362983</v>
      </c>
      <c r="AD40" s="2">
        <f t="shared" ref="AD40:AD66" si="16">N40-N39</f>
        <v>9.6445055453349693E-3</v>
      </c>
      <c r="AE40" s="57">
        <f t="shared" si="7"/>
        <v>0.21490717502760878</v>
      </c>
      <c r="AG40" s="89"/>
    </row>
    <row r="41" spans="9:33" x14ac:dyDescent="0.2">
      <c r="I41" s="56">
        <f t="shared" si="14"/>
        <v>34</v>
      </c>
      <c r="J41" s="19">
        <f t="shared" si="9"/>
        <v>0.13432397785997099</v>
      </c>
      <c r="K41" s="19">
        <f t="shared" si="10"/>
        <v>6.904543223547624E-2</v>
      </c>
      <c r="L41" s="19">
        <f t="shared" si="11"/>
        <v>0.26827120773683633</v>
      </c>
      <c r="M41" s="19">
        <f t="shared" si="12"/>
        <v>0.25283387530928869</v>
      </c>
      <c r="N41" s="85">
        <f t="shared" si="13"/>
        <v>0.27552550685842797</v>
      </c>
      <c r="O41" s="19"/>
      <c r="P41" s="64">
        <f t="shared" si="15"/>
        <v>0.3605949401730783</v>
      </c>
      <c r="Q41" s="12"/>
      <c r="R41" s="12">
        <v>1</v>
      </c>
      <c r="S41" s="12"/>
      <c r="T41" s="65">
        <f t="shared" si="1"/>
        <v>0.3605949401730783</v>
      </c>
      <c r="V41" s="55">
        <f t="shared" si="2"/>
        <v>220.79374105223513</v>
      </c>
      <c r="W41" s="11"/>
      <c r="X41" s="76">
        <f t="shared" si="3"/>
        <v>0.14947890067431241</v>
      </c>
      <c r="Y41" s="77"/>
      <c r="Z41" s="76">
        <f t="shared" si="4"/>
        <v>2.1512884659383669E-2</v>
      </c>
      <c r="AB41" s="74">
        <v>35.858852333999998</v>
      </c>
      <c r="AC41" s="2">
        <f t="shared" si="5"/>
        <v>21.965447734566784</v>
      </c>
      <c r="AD41" s="2">
        <f t="shared" si="16"/>
        <v>9.5034602454893147E-3</v>
      </c>
      <c r="AE41" s="57">
        <f t="shared" si="7"/>
        <v>0.20874775931982875</v>
      </c>
      <c r="AG41" s="89"/>
    </row>
    <row r="42" spans="9:33" x14ac:dyDescent="0.2">
      <c r="I42" s="56">
        <f t="shared" si="14"/>
        <v>35</v>
      </c>
      <c r="J42" s="19">
        <f t="shared" si="9"/>
        <v>0.12662253434946827</v>
      </c>
      <c r="K42" s="19">
        <f t="shared" si="10"/>
        <v>6.5355777819385508E-2</v>
      </c>
      <c r="L42" s="19">
        <f t="shared" si="11"/>
        <v>0.26566136590105782</v>
      </c>
      <c r="M42" s="19">
        <f t="shared" si="12"/>
        <v>0.25748003537661868</v>
      </c>
      <c r="N42" s="85">
        <f t="shared" si="13"/>
        <v>0.28488028655346997</v>
      </c>
      <c r="O42" s="19"/>
      <c r="P42" s="64">
        <f t="shared" si="15"/>
        <v>0.34993774911115533</v>
      </c>
      <c r="Q42" s="12"/>
      <c r="R42" s="12">
        <v>1</v>
      </c>
      <c r="S42" s="12"/>
      <c r="T42" s="65">
        <f t="shared" si="1"/>
        <v>0.34993774911115533</v>
      </c>
      <c r="V42" s="55">
        <f t="shared" si="2"/>
        <v>211.01583483279711</v>
      </c>
      <c r="W42" s="11"/>
      <c r="X42" s="76">
        <f t="shared" si="3"/>
        <v>0.14040888807682017</v>
      </c>
      <c r="Y42" s="77"/>
      <c r="Z42" s="76">
        <f t="shared" si="4"/>
        <v>2.0569941613314685E-2</v>
      </c>
      <c r="AB42" s="74">
        <v>34.914880949999997</v>
      </c>
      <c r="AC42" s="2">
        <f t="shared" si="5"/>
        <v>21.638917264328018</v>
      </c>
      <c r="AD42" s="2">
        <f t="shared" si="16"/>
        <v>9.3547796950420037E-3</v>
      </c>
      <c r="AE42" s="57">
        <f t="shared" si="7"/>
        <v>0.20242730384702962</v>
      </c>
      <c r="AG42" s="89"/>
    </row>
    <row r="43" spans="9:33" x14ac:dyDescent="0.2">
      <c r="I43" s="56">
        <f t="shared" si="14"/>
        <v>36</v>
      </c>
      <c r="J43" s="19">
        <f t="shared" si="9"/>
        <v>0.11936265185502848</v>
      </c>
      <c r="K43" s="19">
        <f t="shared" si="10"/>
        <v>6.1840192029762611E-2</v>
      </c>
      <c r="L43" s="19">
        <f t="shared" si="11"/>
        <v>0.26272975871017007</v>
      </c>
      <c r="M43" s="19">
        <f t="shared" si="12"/>
        <v>0.26198765255911782</v>
      </c>
      <c r="N43" s="85">
        <f t="shared" si="13"/>
        <v>0.29407974484592125</v>
      </c>
      <c r="O43" s="19"/>
      <c r="P43" s="64">
        <f t="shared" si="15"/>
        <v>0.33959552564493911</v>
      </c>
      <c r="Q43" s="12"/>
      <c r="R43" s="12">
        <v>1</v>
      </c>
      <c r="S43" s="12"/>
      <c r="T43" s="65">
        <f t="shared" si="1"/>
        <v>0.33959552564493911</v>
      </c>
      <c r="V43" s="55">
        <f t="shared" si="2"/>
        <v>201.4711046667818</v>
      </c>
      <c r="W43" s="11"/>
      <c r="X43" s="76">
        <f t="shared" si="3"/>
        <v>0.13186312280089549</v>
      </c>
      <c r="Y43" s="77"/>
      <c r="Z43" s="76">
        <f t="shared" si="4"/>
        <v>1.9648238185638083E-2</v>
      </c>
      <c r="AB43" s="74">
        <v>33.982592404000002</v>
      </c>
      <c r="AC43" s="2">
        <f t="shared" si="5"/>
        <v>21.307223263871222</v>
      </c>
      <c r="AD43" s="2">
        <f t="shared" si="16"/>
        <v>9.1994582924512791E-3</v>
      </c>
      <c r="AE43" s="57">
        <f t="shared" si="7"/>
        <v>0.19601491174393093</v>
      </c>
      <c r="AG43" s="89"/>
    </row>
    <row r="44" spans="9:33" x14ac:dyDescent="0.2">
      <c r="I44" s="56">
        <f t="shared" si="14"/>
        <v>37</v>
      </c>
      <c r="J44" s="19">
        <f t="shared" si="9"/>
        <v>0.11251901354732728</v>
      </c>
      <c r="K44" s="19">
        <f t="shared" si="10"/>
        <v>5.8493914932843172E-2</v>
      </c>
      <c r="L44" s="19">
        <f t="shared" si="11"/>
        <v>0.25950922665273229</v>
      </c>
      <c r="M44" s="19">
        <f t="shared" si="12"/>
        <v>0.26635968008956923</v>
      </c>
      <c r="N44" s="85">
        <f t="shared" si="13"/>
        <v>0.30311816477752818</v>
      </c>
      <c r="O44" s="19"/>
      <c r="P44" s="64">
        <f t="shared" si="15"/>
        <v>0.32955896107518912</v>
      </c>
      <c r="Q44" s="12"/>
      <c r="R44" s="12">
        <v>1</v>
      </c>
      <c r="S44" s="12"/>
      <c r="T44" s="65">
        <f t="shared" si="1"/>
        <v>0.32955896107518912</v>
      </c>
      <c r="V44" s="55">
        <f t="shared" si="2"/>
        <v>192.17845854498188</v>
      </c>
      <c r="W44" s="11"/>
      <c r="X44" s="76">
        <f t="shared" si="3"/>
        <v>0.12381385624870637</v>
      </c>
      <c r="Y44" s="77"/>
      <c r="Z44" s="76">
        <f t="shared" si="4"/>
        <v>1.8749784626320171E-2</v>
      </c>
      <c r="AB44" s="74">
        <v>33.050303857999999</v>
      </c>
      <c r="AC44" s="2">
        <f t="shared" si="5"/>
        <v>20.966121276791593</v>
      </c>
      <c r="AD44" s="2">
        <f t="shared" si="16"/>
        <v>9.0384199316069225E-3</v>
      </c>
      <c r="AE44" s="57">
        <f t="shared" si="7"/>
        <v>0.18950060843664113</v>
      </c>
      <c r="AG44" s="89"/>
    </row>
    <row r="45" spans="9:33" x14ac:dyDescent="0.2">
      <c r="I45" s="56">
        <f t="shared" si="14"/>
        <v>38</v>
      </c>
      <c r="J45" s="19">
        <f t="shared" si="9"/>
        <v>0.10606775413334837</v>
      </c>
      <c r="K45" s="19">
        <f t="shared" si="10"/>
        <v>5.5311732363934059E-2</v>
      </c>
      <c r="L45" s="19">
        <f t="shared" si="11"/>
        <v>0.25603073293708062</v>
      </c>
      <c r="M45" s="19">
        <f t="shared" si="12"/>
        <v>0.27059909437592183</v>
      </c>
      <c r="N45" s="85">
        <f t="shared" si="13"/>
        <v>0.31199068618971532</v>
      </c>
      <c r="O45" s="19"/>
      <c r="P45" s="64">
        <f t="shared" si="15"/>
        <v>0.31981902181630395</v>
      </c>
      <c r="Q45" s="12"/>
      <c r="R45" s="12">
        <v>1</v>
      </c>
      <c r="S45" s="12"/>
      <c r="T45" s="65">
        <f t="shared" si="1"/>
        <v>0.31981902181630395</v>
      </c>
      <c r="V45" s="55">
        <f t="shared" si="2"/>
        <v>183.15286553395455</v>
      </c>
      <c r="W45" s="11"/>
      <c r="X45" s="76">
        <f t="shared" si="3"/>
        <v>0.11623454115607713</v>
      </c>
      <c r="Y45" s="77"/>
      <c r="Z45" s="76">
        <f t="shared" si="4"/>
        <v>1.7876190573740715E-2</v>
      </c>
      <c r="AB45" s="74">
        <v>32.118015311999997</v>
      </c>
      <c r="AC45" s="2">
        <f t="shared" si="5"/>
        <v>20.615344460118877</v>
      </c>
      <c r="AD45" s="2">
        <f t="shared" si="16"/>
        <v>8.8725214121871399E-3</v>
      </c>
      <c r="AE45" s="57">
        <f t="shared" si="7"/>
        <v>0.18291008514201826</v>
      </c>
      <c r="AG45" s="89"/>
    </row>
    <row r="46" spans="9:33" x14ac:dyDescent="0.2">
      <c r="I46" s="56">
        <f t="shared" si="14"/>
        <v>39</v>
      </c>
      <c r="J46" s="19">
        <f t="shared" si="9"/>
        <v>9.9986376632784452E-2</v>
      </c>
      <c r="K46" s="19">
        <f t="shared" si="10"/>
        <v>5.2288103255605872E-2</v>
      </c>
      <c r="L46" s="19">
        <f t="shared" si="11"/>
        <v>0.2523233915152821</v>
      </c>
      <c r="M46" s="19">
        <f t="shared" si="12"/>
        <v>0.27470888656563042</v>
      </c>
      <c r="N46" s="85">
        <f t="shared" si="13"/>
        <v>0.32069324203069738</v>
      </c>
      <c r="O46" s="19"/>
      <c r="P46" s="64">
        <f t="shared" si="15"/>
        <v>0.31036694126548503</v>
      </c>
      <c r="Q46" s="12"/>
      <c r="R46" s="12">
        <v>1</v>
      </c>
      <c r="S46" s="12"/>
      <c r="T46" s="65">
        <f t="shared" si="1"/>
        <v>0.31036694126548503</v>
      </c>
      <c r="V46" s="55">
        <f t="shared" si="2"/>
        <v>174.40580043486617</v>
      </c>
      <c r="W46" s="11"/>
      <c r="X46" s="76">
        <f t="shared" si="3"/>
        <v>0.10909981100961676</v>
      </c>
      <c r="Y46" s="77"/>
      <c r="Z46" s="76">
        <f t="shared" si="4"/>
        <v>1.7028709931014789E-2</v>
      </c>
      <c r="AB46" s="74">
        <v>31.185726765999998</v>
      </c>
      <c r="AC46" s="2">
        <f t="shared" si="5"/>
        <v>20.25461840229525</v>
      </c>
      <c r="AD46" s="2">
        <f t="shared" si="16"/>
        <v>8.7025558409820625E-3</v>
      </c>
      <c r="AE46" s="57">
        <f t="shared" si="7"/>
        <v>0.17626694768375731</v>
      </c>
      <c r="AG46" s="89"/>
    </row>
    <row r="47" spans="9:33" x14ac:dyDescent="0.2">
      <c r="I47" s="56">
        <f t="shared" si="14"/>
        <v>40</v>
      </c>
      <c r="J47" s="19">
        <f t="shared" si="9"/>
        <v>9.4253673926049664E-2</v>
      </c>
      <c r="K47" s="19">
        <f t="shared" si="10"/>
        <v>4.9417265557360451E-2</v>
      </c>
      <c r="L47" s="19">
        <f t="shared" si="11"/>
        <v>0.24841450768014411</v>
      </c>
      <c r="M47" s="19">
        <f t="shared" si="12"/>
        <v>0.27869205481088455</v>
      </c>
      <c r="N47" s="85">
        <f t="shared" si="13"/>
        <v>0.32922249802556147</v>
      </c>
      <c r="O47" s="19"/>
      <c r="P47" s="64">
        <f t="shared" si="15"/>
        <v>0.30119421191220214</v>
      </c>
      <c r="Q47" s="12"/>
      <c r="R47" s="12">
        <v>1</v>
      </c>
      <c r="S47" s="12"/>
      <c r="T47" s="65">
        <f t="shared" si="1"/>
        <v>0.30119421191220214</v>
      </c>
      <c r="V47" s="55">
        <f t="shared" si="2"/>
        <v>165.94565114286189</v>
      </c>
      <c r="W47" s="11"/>
      <c r="X47" s="76">
        <f t="shared" si="3"/>
        <v>0.10238545516929411</v>
      </c>
      <c r="Y47" s="77"/>
      <c r="Z47" s="76">
        <f t="shared" si="4"/>
        <v>1.6208281976533952E-2</v>
      </c>
      <c r="AB47" s="74">
        <v>30.25343822</v>
      </c>
      <c r="AC47" s="2">
        <f t="shared" si="5"/>
        <v>19.883660908504019</v>
      </c>
      <c r="AD47" s="2">
        <f t="shared" si="16"/>
        <v>8.5292559948640934E-3</v>
      </c>
      <c r="AE47" s="57">
        <f t="shared" si="7"/>
        <v>0.16959283400370273</v>
      </c>
      <c r="AG47" s="89"/>
    </row>
    <row r="48" spans="9:33" x14ac:dyDescent="0.2">
      <c r="I48" s="56">
        <f t="shared" si="14"/>
        <v>41</v>
      </c>
      <c r="J48" s="19">
        <f t="shared" si="9"/>
        <v>8.884965480032414E-2</v>
      </c>
      <c r="K48" s="19">
        <f t="shared" si="10"/>
        <v>4.6693323939385203E-2</v>
      </c>
      <c r="L48" s="19">
        <f t="shared" si="11"/>
        <v>0.24432962841807823</v>
      </c>
      <c r="M48" s="19">
        <f t="shared" si="12"/>
        <v>0.28255159719458012</v>
      </c>
      <c r="N48" s="85">
        <f t="shared" si="13"/>
        <v>0.33757579564763257</v>
      </c>
      <c r="O48" s="19"/>
      <c r="P48" s="64">
        <f t="shared" si="15"/>
        <v>0.29229257768085942</v>
      </c>
      <c r="Q48" s="12"/>
      <c r="R48" s="12">
        <v>1</v>
      </c>
      <c r="S48" s="12"/>
      <c r="T48" s="65">
        <f t="shared" si="1"/>
        <v>0.29229257768085942</v>
      </c>
      <c r="V48" s="55">
        <f t="shared" si="2"/>
        <v>157.77809053436565</v>
      </c>
      <c r="W48" s="11"/>
      <c r="X48" s="76">
        <f t="shared" si="3"/>
        <v>9.6068390556936376E-2</v>
      </c>
      <c r="Y48" s="77"/>
      <c r="Z48" s="76">
        <f t="shared" si="4"/>
        <v>1.5415568896525397E-2</v>
      </c>
      <c r="AB48" s="74">
        <v>29.338929644</v>
      </c>
      <c r="AC48" s="2">
        <f t="shared" si="5"/>
        <v>19.509557336467644</v>
      </c>
      <c r="AD48" s="2">
        <f t="shared" si="16"/>
        <v>8.3532976220710986E-3</v>
      </c>
      <c r="AE48" s="57">
        <f t="shared" si="7"/>
        <v>0.16296913890637493</v>
      </c>
      <c r="AG48" s="89"/>
    </row>
    <row r="49" spans="9:33" x14ac:dyDescent="0.2">
      <c r="I49" s="56">
        <f t="shared" si="14"/>
        <v>42</v>
      </c>
      <c r="J49" s="19">
        <f t="shared" si="9"/>
        <v>8.375547423573651E-2</v>
      </c>
      <c r="K49" s="19">
        <f t="shared" si="10"/>
        <v>4.411032201622736E-2</v>
      </c>
      <c r="L49" s="19">
        <f t="shared" si="11"/>
        <v>0.24009260015889547</v>
      </c>
      <c r="M49" s="19">
        <f t="shared" si="12"/>
        <v>0.28629050527799604</v>
      </c>
      <c r="N49" s="85">
        <f t="shared" si="13"/>
        <v>0.34575109831114487</v>
      </c>
      <c r="O49" s="19"/>
      <c r="P49" s="64">
        <f t="shared" si="15"/>
        <v>0.2836540264997704</v>
      </c>
      <c r="Q49" s="12"/>
      <c r="R49" s="12">
        <v>1</v>
      </c>
      <c r="S49" s="12"/>
      <c r="T49" s="65">
        <f t="shared" si="1"/>
        <v>0.2836540264997704</v>
      </c>
      <c r="V49" s="55">
        <f t="shared" si="2"/>
        <v>149.90641486126282</v>
      </c>
      <c r="W49" s="11"/>
      <c r="X49" s="76">
        <f t="shared" si="3"/>
        <v>9.0126630650259665E-2</v>
      </c>
      <c r="Y49" s="77"/>
      <c r="Z49" s="76">
        <f t="shared" si="4"/>
        <v>1.4650989941695424E-2</v>
      </c>
      <c r="AB49" s="74">
        <v>28.424421068000001</v>
      </c>
      <c r="AC49" s="2">
        <f t="shared" si="5"/>
        <v>19.125048047608598</v>
      </c>
      <c r="AD49" s="2">
        <f t="shared" si="16"/>
        <v>8.1753026635122961E-3</v>
      </c>
      <c r="AE49" s="57">
        <f t="shared" si="7"/>
        <v>0.15635305624341519</v>
      </c>
      <c r="AG49" s="89"/>
    </row>
    <row r="50" spans="9:33" x14ac:dyDescent="0.2">
      <c r="I50" s="56">
        <f t="shared" si="14"/>
        <v>43</v>
      </c>
      <c r="J50" s="19">
        <f t="shared" si="9"/>
        <v>7.8953367688576886E-2</v>
      </c>
      <c r="K50" s="19">
        <f t="shared" si="10"/>
        <v>4.166230143376054E-2</v>
      </c>
      <c r="L50" s="19">
        <f t="shared" si="11"/>
        <v>0.2357256319540901</v>
      </c>
      <c r="M50" s="19">
        <f t="shared" si="12"/>
        <v>0.28991175823239662</v>
      </c>
      <c r="N50" s="85">
        <f t="shared" si="13"/>
        <v>0.35374694069117613</v>
      </c>
      <c r="O50" s="19"/>
      <c r="P50" s="64">
        <f t="shared" si="15"/>
        <v>0.27527078308975234</v>
      </c>
      <c r="Q50" s="12"/>
      <c r="R50" s="12">
        <v>1</v>
      </c>
      <c r="S50" s="12"/>
      <c r="T50" s="65">
        <f t="shared" si="1"/>
        <v>0.27527078308975234</v>
      </c>
      <c r="V50" s="55">
        <f t="shared" si="2"/>
        <v>142.3318507132112</v>
      </c>
      <c r="W50" s="11"/>
      <c r="X50" s="76">
        <f t="shared" si="3"/>
        <v>8.453925241701396E-2</v>
      </c>
      <c r="Y50" s="77"/>
      <c r="Z50" s="76">
        <f t="shared" si="4"/>
        <v>1.3914752417524674E-2</v>
      </c>
      <c r="AB50" s="74">
        <v>27.509912492000002</v>
      </c>
      <c r="AC50" s="2">
        <f t="shared" si="5"/>
        <v>18.729843606191203</v>
      </c>
      <c r="AD50" s="2">
        <f t="shared" si="16"/>
        <v>7.9958423800312595E-3</v>
      </c>
      <c r="AE50" s="57">
        <f t="shared" si="7"/>
        <v>0.14976087727774112</v>
      </c>
      <c r="AG50" s="89"/>
    </row>
    <row r="51" spans="9:33" x14ac:dyDescent="0.2">
      <c r="I51" s="56">
        <f t="shared" si="14"/>
        <v>44</v>
      </c>
      <c r="J51" s="19">
        <f t="shared" si="9"/>
        <v>7.4426589142371186E-2</v>
      </c>
      <c r="K51" s="19">
        <f t="shared" si="10"/>
        <v>3.9343349825674251E-2</v>
      </c>
      <c r="L51" s="19">
        <f t="shared" si="11"/>
        <v>0.23124936244753058</v>
      </c>
      <c r="M51" s="19">
        <f t="shared" si="12"/>
        <v>0.29341831751814573</v>
      </c>
      <c r="N51" s="85">
        <f t="shared" si="13"/>
        <v>0.36156238106627853</v>
      </c>
      <c r="O51" s="19"/>
      <c r="P51" s="64">
        <f t="shared" si="15"/>
        <v>0.26713530196585039</v>
      </c>
      <c r="Q51" s="12"/>
      <c r="R51" s="12">
        <v>1</v>
      </c>
      <c r="S51" s="12"/>
      <c r="T51" s="65">
        <f t="shared" si="1"/>
        <v>0.26713530196585039</v>
      </c>
      <c r="V51" s="55">
        <f t="shared" si="2"/>
        <v>135.05383263793428</v>
      </c>
      <c r="W51" s="11"/>
      <c r="X51" s="76">
        <f t="shared" si="3"/>
        <v>7.9286361732528884E-2</v>
      </c>
      <c r="Y51" s="77"/>
      <c r="Z51" s="76">
        <f t="shared" si="4"/>
        <v>1.3206879720046976E-2</v>
      </c>
      <c r="AB51" s="74">
        <v>26.595403915999999</v>
      </c>
      <c r="AC51" s="2">
        <f t="shared" si="5"/>
        <v>18.323646525804701</v>
      </c>
      <c r="AD51" s="2">
        <f t="shared" si="16"/>
        <v>7.8154403751024004E-3</v>
      </c>
      <c r="AE51" s="57">
        <f t="shared" si="7"/>
        <v>0.14320736687687888</v>
      </c>
      <c r="AG51" s="89"/>
    </row>
    <row r="52" spans="9:33" x14ac:dyDescent="0.2">
      <c r="I52" s="56">
        <f t="shared" si="14"/>
        <v>45</v>
      </c>
      <c r="J52" s="19">
        <f t="shared" si="9"/>
        <v>7.0159352710787062E-2</v>
      </c>
      <c r="K52" s="19">
        <f t="shared" si="10"/>
        <v>3.7147639356151792E-2</v>
      </c>
      <c r="L52" s="19">
        <f t="shared" si="11"/>
        <v>0.226682929285035</v>
      </c>
      <c r="M52" s="19">
        <f t="shared" si="12"/>
        <v>0.2968131220763629</v>
      </c>
      <c r="N52" s="85">
        <f t="shared" si="13"/>
        <v>0.36919695657166357</v>
      </c>
      <c r="O52" s="19"/>
      <c r="P52" s="64">
        <f t="shared" si="15"/>
        <v>0.25924026064589156</v>
      </c>
      <c r="Q52" s="12"/>
      <c r="R52" s="12">
        <v>1</v>
      </c>
      <c r="S52" s="12"/>
      <c r="T52" s="65">
        <f t="shared" si="1"/>
        <v>0.25924026064589156</v>
      </c>
      <c r="V52" s="55">
        <f t="shared" si="2"/>
        <v>128.0702534968963</v>
      </c>
      <c r="W52" s="11"/>
      <c r="X52" s="76">
        <f t="shared" si="3"/>
        <v>7.4349057744567765E-2</v>
      </c>
      <c r="Y52" s="77"/>
      <c r="Z52" s="76">
        <f t="shared" si="4"/>
        <v>1.2527236627209835E-2</v>
      </c>
      <c r="AB52" s="74">
        <v>25.680895339999999</v>
      </c>
      <c r="AC52" s="2">
        <f t="shared" si="5"/>
        <v>17.906151045433177</v>
      </c>
      <c r="AD52" s="2">
        <f t="shared" si="16"/>
        <v>7.6345755053850439E-3</v>
      </c>
      <c r="AE52" s="57">
        <f t="shared" si="7"/>
        <v>0.13670586216718894</v>
      </c>
      <c r="AG52" s="89"/>
    </row>
    <row r="53" spans="9:33" x14ac:dyDescent="0.2">
      <c r="I53" s="56">
        <f t="shared" si="14"/>
        <v>46</v>
      </c>
      <c r="J53" s="19">
        <f t="shared" si="9"/>
        <v>6.6136777588727769E-2</v>
      </c>
      <c r="K53" s="19">
        <f t="shared" si="10"/>
        <v>3.506945731675052E-2</v>
      </c>
      <c r="L53" s="19">
        <f t="shared" si="11"/>
        <v>0.2220440398492094</v>
      </c>
      <c r="M53" s="19">
        <f t="shared" si="12"/>
        <v>0.30009908399964147</v>
      </c>
      <c r="N53" s="85">
        <f t="shared" si="13"/>
        <v>0.37665064124567121</v>
      </c>
      <c r="O53" s="19"/>
      <c r="P53" s="64">
        <f t="shared" si="15"/>
        <v>0.25157855305975652</v>
      </c>
      <c r="Q53" s="12"/>
      <c r="R53" s="12">
        <v>1</v>
      </c>
      <c r="S53" s="12"/>
      <c r="T53" s="65">
        <f t="shared" si="1"/>
        <v>0.25157855305975652</v>
      </c>
      <c r="V53" s="55">
        <f t="shared" si="2"/>
        <v>121.37768959044337</v>
      </c>
      <c r="W53" s="11"/>
      <c r="X53" s="76">
        <f t="shared" si="3"/>
        <v>6.9709396580374713E-2</v>
      </c>
      <c r="Y53" s="77"/>
      <c r="Z53" s="76">
        <f t="shared" si="4"/>
        <v>1.1875552051183434E-2</v>
      </c>
      <c r="AB53" s="74">
        <v>24.802356295999999</v>
      </c>
      <c r="AC53" s="2">
        <f t="shared" si="5"/>
        <v>17.494143971259124</v>
      </c>
      <c r="AD53" s="2">
        <f t="shared" si="16"/>
        <v>7.4536846740076435E-3</v>
      </c>
      <c r="AE53" s="57">
        <f t="shared" si="7"/>
        <v>0.13039583280345735</v>
      </c>
      <c r="AG53" s="89"/>
    </row>
    <row r="54" spans="9:33" x14ac:dyDescent="0.2">
      <c r="I54" s="56">
        <f t="shared" si="14"/>
        <v>47</v>
      </c>
      <c r="J54" s="19">
        <f t="shared" si="9"/>
        <v>6.2344836159646123E-2</v>
      </c>
      <c r="K54" s="19">
        <f t="shared" si="10"/>
        <v>3.3103230032028905E-2</v>
      </c>
      <c r="L54" s="19">
        <f t="shared" si="11"/>
        <v>0.21734904240930839</v>
      </c>
      <c r="M54" s="19">
        <f t="shared" si="12"/>
        <v>0.30327908464986714</v>
      </c>
      <c r="N54" s="85">
        <f t="shared" si="13"/>
        <v>0.38392380674914983</v>
      </c>
      <c r="O54" s="19"/>
      <c r="P54" s="64">
        <f t="shared" si="15"/>
        <v>0.24414328315343711</v>
      </c>
      <c r="Q54" s="12"/>
      <c r="R54" s="12">
        <v>1</v>
      </c>
      <c r="S54" s="12"/>
      <c r="T54" s="65">
        <f t="shared" si="1"/>
        <v>0.24414328315343711</v>
      </c>
      <c r="V54" s="55">
        <f t="shared" si="2"/>
        <v>114.97160252051533</v>
      </c>
      <c r="W54" s="11"/>
      <c r="X54" s="76">
        <f t="shared" si="3"/>
        <v>6.5350354730783336E-2</v>
      </c>
      <c r="Y54" s="77"/>
      <c r="Z54" s="76">
        <f t="shared" si="4"/>
        <v>1.1251439450061075E-2</v>
      </c>
      <c r="AB54" s="74">
        <v>23.923817251999999</v>
      </c>
      <c r="AC54" s="2">
        <f t="shared" si="5"/>
        <v>17.071133602640145</v>
      </c>
      <c r="AD54" s="2">
        <f t="shared" si="16"/>
        <v>7.273165503478618E-3</v>
      </c>
      <c r="AE54" s="57">
        <f t="shared" si="7"/>
        <v>0.12416118002399697</v>
      </c>
      <c r="AG54" s="89"/>
    </row>
    <row r="55" spans="9:33" x14ac:dyDescent="0.2">
      <c r="I55" s="56">
        <f t="shared" si="14"/>
        <v>48</v>
      </c>
      <c r="J55" s="19">
        <f t="shared" si="9"/>
        <v>5.8770305078117251E-2</v>
      </c>
      <c r="K55" s="19">
        <f t="shared" si="10"/>
        <v>3.1243541145245066E-2</v>
      </c>
      <c r="L55" s="19">
        <f t="shared" si="11"/>
        <v>0.21261299694800934</v>
      </c>
      <c r="M55" s="19">
        <f t="shared" si="12"/>
        <v>0.30635597119269836</v>
      </c>
      <c r="N55" s="85">
        <f t="shared" si="13"/>
        <v>0.39101718563593035</v>
      </c>
      <c r="O55" s="19"/>
      <c r="P55" s="64">
        <f t="shared" si="15"/>
        <v>0.23692775868212176</v>
      </c>
      <c r="Q55" s="12"/>
      <c r="R55" s="12">
        <v>1</v>
      </c>
      <c r="S55" s="12"/>
      <c r="T55" s="65">
        <f t="shared" si="1"/>
        <v>0.23692775868212176</v>
      </c>
      <c r="V55" s="55">
        <f t="shared" si="2"/>
        <v>108.846519676958</v>
      </c>
      <c r="W55" s="11"/>
      <c r="X55" s="76">
        <f t="shared" si="3"/>
        <v>6.1255792394081139E-2</v>
      </c>
      <c r="Y55" s="77"/>
      <c r="Z55" s="76">
        <f t="shared" si="4"/>
        <v>1.0654415088920184E-2</v>
      </c>
      <c r="AB55" s="74">
        <v>23.045278207999999</v>
      </c>
      <c r="AC55" s="2">
        <f t="shared" si="5"/>
        <v>16.636826079358205</v>
      </c>
      <c r="AD55" s="2">
        <f t="shared" si="16"/>
        <v>7.0933788867805214E-3</v>
      </c>
      <c r="AE55" s="57">
        <f t="shared" si="7"/>
        <v>0.11801131085435905</v>
      </c>
      <c r="AG55" s="89"/>
    </row>
    <row r="56" spans="9:33" x14ac:dyDescent="0.2">
      <c r="I56" s="56">
        <f t="shared" si="14"/>
        <v>49</v>
      </c>
      <c r="J56" s="19">
        <f t="shared" si="9"/>
        <v>5.5400719157084069E-2</v>
      </c>
      <c r="K56" s="19">
        <f t="shared" si="10"/>
        <v>2.9485145198238562E-2</v>
      </c>
      <c r="L56" s="19">
        <f t="shared" si="11"/>
        <v>0.20784974507240042</v>
      </c>
      <c r="M56" s="19">
        <f t="shared" si="12"/>
        <v>0.30933255351978695</v>
      </c>
      <c r="N56" s="85">
        <f t="shared" si="13"/>
        <v>0.39793183705249036</v>
      </c>
      <c r="O56" s="19"/>
      <c r="P56" s="64">
        <f t="shared" si="15"/>
        <v>0.22992548518672384</v>
      </c>
      <c r="Q56" s="12"/>
      <c r="R56" s="12">
        <v>1</v>
      </c>
      <c r="S56" s="12"/>
      <c r="T56" s="65">
        <f t="shared" si="1"/>
        <v>0.22992548518672384</v>
      </c>
      <c r="V56" s="55">
        <f t="shared" si="2"/>
        <v>102.99619514051736</v>
      </c>
      <c r="W56" s="11"/>
      <c r="X56" s="76">
        <f t="shared" si="3"/>
        <v>5.741041701698351E-2</v>
      </c>
      <c r="Y56" s="77"/>
      <c r="Z56" s="76">
        <f t="shared" si="4"/>
        <v>1.0083914330701157E-2</v>
      </c>
      <c r="AB56" s="74">
        <v>22.166739163999999</v>
      </c>
      <c r="AC56" s="2">
        <f t="shared" si="5"/>
        <v>16.190919693197753</v>
      </c>
      <c r="AD56" s="2">
        <f t="shared" si="16"/>
        <v>6.9146514165600026E-3</v>
      </c>
      <c r="AE56" s="57">
        <f t="shared" si="7"/>
        <v>0.11195456579197909</v>
      </c>
      <c r="AG56" s="89"/>
    </row>
    <row r="57" spans="9:33" x14ac:dyDescent="0.2">
      <c r="I57" s="56">
        <f t="shared" si="14"/>
        <v>50</v>
      </c>
      <c r="J57" s="19">
        <f t="shared" si="9"/>
        <v>5.222432789897008E-2</v>
      </c>
      <c r="K57" s="19">
        <f t="shared" si="10"/>
        <v>2.7822977284750566E-2</v>
      </c>
      <c r="L57" s="19">
        <f t="shared" si="11"/>
        <v>0.20307197853905445</v>
      </c>
      <c r="M57" s="19">
        <f t="shared" si="12"/>
        <v>0.31221160153131383</v>
      </c>
      <c r="N57" s="85">
        <f t="shared" si="13"/>
        <v>0.40466911474591138</v>
      </c>
      <c r="O57" s="19"/>
      <c r="P57" s="64">
        <f t="shared" si="15"/>
        <v>0.22313016014842982</v>
      </c>
      <c r="Q57" s="12"/>
      <c r="R57" s="12">
        <v>1</v>
      </c>
      <c r="S57" s="12"/>
      <c r="T57" s="65">
        <f t="shared" si="1"/>
        <v>0.22313016014842982</v>
      </c>
      <c r="V57" s="55">
        <f t="shared" si="2"/>
        <v>97.413752695895028</v>
      </c>
      <c r="W57" s="11"/>
      <c r="X57" s="76">
        <f t="shared" si="3"/>
        <v>5.3799747230688373E-2</v>
      </c>
      <c r="Y57" s="77"/>
      <c r="Z57" s="76">
        <f t="shared" si="4"/>
        <v>9.5393061272145349E-3</v>
      </c>
      <c r="AB57" s="74">
        <v>21.288200119999999</v>
      </c>
      <c r="AC57" s="2">
        <f t="shared" si="5"/>
        <v>15.733104678352621</v>
      </c>
      <c r="AD57" s="2">
        <f t="shared" si="16"/>
        <v>6.7372776934210288E-3</v>
      </c>
      <c r="AE57" s="57">
        <f t="shared" si="7"/>
        <v>0.10599829519772315</v>
      </c>
      <c r="AG57" s="89"/>
    </row>
    <row r="58" spans="9:33" x14ac:dyDescent="0.2">
      <c r="I58" s="56">
        <f t="shared" si="14"/>
        <v>51</v>
      </c>
      <c r="J58" s="19">
        <f t="shared" si="9"/>
        <v>4.9230054519073793E-2</v>
      </c>
      <c r="K58" s="19">
        <f t="shared" si="10"/>
        <v>2.625215944079709E-2</v>
      </c>
      <c r="L58" s="19">
        <f t="shared" si="11"/>
        <v>0.19829130602612932</v>
      </c>
      <c r="M58" s="19">
        <f t="shared" si="12"/>
        <v>0.31499584275288173</v>
      </c>
      <c r="N58" s="85">
        <f t="shared" si="13"/>
        <v>0.41123063726111836</v>
      </c>
      <c r="O58" s="19"/>
      <c r="P58" s="64">
        <f t="shared" si="15"/>
        <v>0.21653566731600707</v>
      </c>
      <c r="Q58" s="12"/>
      <c r="R58" s="12">
        <v>1</v>
      </c>
      <c r="S58" s="12"/>
      <c r="T58" s="65">
        <f t="shared" si="1"/>
        <v>0.21653566731600707</v>
      </c>
      <c r="V58" s="55">
        <f t="shared" si="2"/>
        <v>92.091812545024737</v>
      </c>
      <c r="W58" s="11"/>
      <c r="X58" s="76">
        <f t="shared" si="3"/>
        <v>5.0410077345804688E-2</v>
      </c>
      <c r="Y58" s="77"/>
      <c r="Z58" s="76">
        <f t="shared" si="4"/>
        <v>9.0199058701211279E-3</v>
      </c>
      <c r="AB58" s="74">
        <v>20.451263034</v>
      </c>
      <c r="AC58" s="2">
        <f t="shared" si="5"/>
        <v>15.285601687333003</v>
      </c>
      <c r="AD58" s="2">
        <f t="shared" si="16"/>
        <v>6.5615225152069745E-3</v>
      </c>
      <c r="AE58" s="57">
        <f t="shared" si="7"/>
        <v>0.10029681962992122</v>
      </c>
      <c r="AG58" s="89"/>
    </row>
    <row r="59" spans="9:33" x14ac:dyDescent="0.2">
      <c r="I59" s="56">
        <f t="shared" si="14"/>
        <v>52</v>
      </c>
      <c r="J59" s="19">
        <f t="shared" si="9"/>
        <v>4.6407457318350172E-2</v>
      </c>
      <c r="K59" s="19">
        <f t="shared" si="10"/>
        <v>2.476800433658416E-2</v>
      </c>
      <c r="L59" s="19">
        <f t="shared" si="11"/>
        <v>0.19351831787186338</v>
      </c>
      <c r="M59" s="19">
        <f t="shared" si="12"/>
        <v>0.31768796026223689</v>
      </c>
      <c r="N59" s="85">
        <f t="shared" si="13"/>
        <v>0.41761826021096571</v>
      </c>
      <c r="O59" s="19"/>
      <c r="P59" s="64">
        <f t="shared" si="15"/>
        <v>0.21013607120076472</v>
      </c>
      <c r="Q59" s="12"/>
      <c r="R59" s="12">
        <v>1</v>
      </c>
      <c r="S59" s="12"/>
      <c r="T59" s="65">
        <f t="shared" si="1"/>
        <v>0.21013607120076472</v>
      </c>
      <c r="V59" s="55">
        <f t="shared" si="2"/>
        <v>87.022603206486266</v>
      </c>
      <c r="W59" s="11"/>
      <c r="X59" s="76">
        <f t="shared" si="3"/>
        <v>4.7228442540309203E-2</v>
      </c>
      <c r="Y59" s="77"/>
      <c r="Z59" s="76">
        <f t="shared" si="4"/>
        <v>8.524986751188398E-3</v>
      </c>
      <c r="AB59" s="74">
        <v>19.614325948000001</v>
      </c>
      <c r="AC59" s="2">
        <f t="shared" si="5"/>
        <v>14.82672049601285</v>
      </c>
      <c r="AD59" s="2">
        <f t="shared" si="16"/>
        <v>6.3876229498473491E-3</v>
      </c>
      <c r="AE59" s="57">
        <f t="shared" si="7"/>
        <v>9.4707500111303758E-2</v>
      </c>
      <c r="AG59" s="89"/>
    </row>
    <row r="60" spans="9:33" x14ac:dyDescent="0.2">
      <c r="I60" s="56">
        <f t="shared" si="14"/>
        <v>53</v>
      </c>
      <c r="J60" s="19">
        <f t="shared" si="9"/>
        <v>4.3746693270877393E-2</v>
      </c>
      <c r="K60" s="19">
        <f t="shared" si="10"/>
        <v>2.3366016749518867E-2</v>
      </c>
      <c r="L60" s="19">
        <f t="shared" si="11"/>
        <v>0.18876264857107394</v>
      </c>
      <c r="M60" s="19">
        <f t="shared" si="12"/>
        <v>0.32029059090267925</v>
      </c>
      <c r="N60" s="85">
        <f t="shared" si="13"/>
        <v>0.42383405050585088</v>
      </c>
      <c r="O60" s="19"/>
      <c r="P60" s="64">
        <f t="shared" si="15"/>
        <v>0.20392561173421347</v>
      </c>
      <c r="Q60" s="12"/>
      <c r="R60" s="12">
        <v>1</v>
      </c>
      <c r="S60" s="12"/>
      <c r="T60" s="65">
        <f t="shared" si="1"/>
        <v>0.20392561173421347</v>
      </c>
      <c r="V60" s="55">
        <f t="shared" si="2"/>
        <v>82.198059983621377</v>
      </c>
      <c r="W60" s="11"/>
      <c r="X60" s="76">
        <f t="shared" si="3"/>
        <v>4.4242584849019606E-2</v>
      </c>
      <c r="Y60" s="77"/>
      <c r="Z60" s="76">
        <f t="shared" si="4"/>
        <v>8.0537897706961566E-3</v>
      </c>
      <c r="AB60" s="74">
        <v>18.777388861999999</v>
      </c>
      <c r="AC60" s="2">
        <f t="shared" si="5"/>
        <v>14.356171802544639</v>
      </c>
      <c r="AD60" s="2">
        <f t="shared" si="16"/>
        <v>6.2157902948851707E-3</v>
      </c>
      <c r="AE60" s="57">
        <f t="shared" si="7"/>
        <v>8.9234953361961106E-2</v>
      </c>
      <c r="AG60" s="89"/>
    </row>
    <row r="61" spans="9:33" x14ac:dyDescent="0.2">
      <c r="I61" s="56">
        <f t="shared" si="14"/>
        <v>54</v>
      </c>
      <c r="J61" s="19">
        <f t="shared" si="9"/>
        <v>4.1238483699030333E-2</v>
      </c>
      <c r="K61" s="19">
        <f t="shared" si="10"/>
        <v>2.2041893225127809E-2</v>
      </c>
      <c r="L61" s="19">
        <f t="shared" si="11"/>
        <v>0.18403303688142394</v>
      </c>
      <c r="M61" s="19">
        <f t="shared" si="12"/>
        <v>0.32280632376136126</v>
      </c>
      <c r="N61" s="85">
        <f t="shared" si="13"/>
        <v>0.42988026243305699</v>
      </c>
      <c r="O61" s="19"/>
      <c r="P61" s="64">
        <f t="shared" si="15"/>
        <v>0.19789869908361471</v>
      </c>
      <c r="Q61" s="12"/>
      <c r="R61" s="12">
        <v>1</v>
      </c>
      <c r="S61" s="12"/>
      <c r="T61" s="65">
        <f t="shared" si="1"/>
        <v>0.19789869908361471</v>
      </c>
      <c r="V61" s="55">
        <f t="shared" si="2"/>
        <v>77.609911282885051</v>
      </c>
      <c r="W61" s="11"/>
      <c r="X61" s="76">
        <f t="shared" si="3"/>
        <v>4.1440920040874601E-2</v>
      </c>
      <c r="Y61" s="77"/>
      <c r="Z61" s="76">
        <f t="shared" si="4"/>
        <v>7.6055325226839976E-3</v>
      </c>
      <c r="AB61" s="74">
        <v>17.940451776</v>
      </c>
      <c r="AC61" s="2">
        <f t="shared" si="5"/>
        <v>13.873658949298999</v>
      </c>
      <c r="AD61" s="2">
        <f t="shared" si="16"/>
        <v>6.0462119272061132E-3</v>
      </c>
      <c r="AE61" s="57">
        <f t="shared" si="7"/>
        <v>8.3883082213241436E-2</v>
      </c>
      <c r="AG61" s="89"/>
    </row>
    <row r="62" spans="9:33" x14ac:dyDescent="0.2">
      <c r="I62" s="56">
        <f t="shared" si="14"/>
        <v>55</v>
      </c>
      <c r="J62" s="19">
        <f t="shared" si="9"/>
        <v>3.8874081916662376E-2</v>
      </c>
      <c r="K62" s="19">
        <f t="shared" si="10"/>
        <v>2.0791520270425086E-2</v>
      </c>
      <c r="L62" s="19">
        <f t="shared" si="11"/>
        <v>0.1793373834410992</v>
      </c>
      <c r="M62" s="19">
        <f t="shared" si="12"/>
        <v>0.3252376988919658</v>
      </c>
      <c r="N62" s="85">
        <f t="shared" si="13"/>
        <v>0.43575931547984786</v>
      </c>
      <c r="O62" s="19"/>
      <c r="P62" s="64">
        <f t="shared" si="15"/>
        <v>0.19204990862075413</v>
      </c>
      <c r="Q62" s="12"/>
      <c r="R62" s="12">
        <v>1</v>
      </c>
      <c r="S62" s="12"/>
      <c r="T62" s="65">
        <f t="shared" si="1"/>
        <v>0.19204990862075413</v>
      </c>
      <c r="V62" s="55">
        <f t="shared" si="2"/>
        <v>73.249753966308731</v>
      </c>
      <c r="W62" s="11"/>
      <c r="X62" s="76">
        <f t="shared" si="3"/>
        <v>3.8812505451149934E-2</v>
      </c>
      <c r="Y62" s="77"/>
      <c r="Z62" s="76">
        <f t="shared" si="4"/>
        <v>7.1794168759042399E-3</v>
      </c>
      <c r="AB62" s="74">
        <v>17.103514690000001</v>
      </c>
      <c r="AC62" s="2">
        <f t="shared" si="5"/>
        <v>13.378877735836815</v>
      </c>
      <c r="AD62" s="2">
        <f t="shared" si="16"/>
        <v>5.8790530467908719E-3</v>
      </c>
      <c r="AE62" s="57">
        <f t="shared" si="7"/>
        <v>7.8655131915513987E-2</v>
      </c>
      <c r="AG62" s="89"/>
    </row>
    <row r="63" spans="9:33" x14ac:dyDescent="0.2">
      <c r="I63" s="56">
        <f t="shared" si="14"/>
        <v>56</v>
      </c>
      <c r="J63" s="19">
        <f t="shared" si="9"/>
        <v>3.6645242727460184E-2</v>
      </c>
      <c r="K63" s="19">
        <f t="shared" si="10"/>
        <v>1.9610971370997727E-2</v>
      </c>
      <c r="L63" s="19">
        <f t="shared" si="11"/>
        <v>0.17468280584068205</v>
      </c>
      <c r="M63" s="19">
        <f t="shared" si="12"/>
        <v>0.32758720626249255</v>
      </c>
      <c r="N63" s="85">
        <f t="shared" si="13"/>
        <v>0.44147377379836783</v>
      </c>
      <c r="O63" s="19"/>
      <c r="P63" s="64">
        <f t="shared" si="15"/>
        <v>0.18637397603940997</v>
      </c>
      <c r="Q63" s="12"/>
      <c r="R63" s="12">
        <v>1</v>
      </c>
      <c r="S63" s="12"/>
      <c r="T63" s="65">
        <f t="shared" si="1"/>
        <v>0.18637397603940997</v>
      </c>
      <c r="V63" s="55">
        <f t="shared" si="2"/>
        <v>69.109118828406551</v>
      </c>
      <c r="W63" s="11"/>
      <c r="X63" s="76">
        <f t="shared" si="3"/>
        <v>3.6347008819232064E-2</v>
      </c>
      <c r="Y63" s="77"/>
      <c r="Z63" s="76">
        <f t="shared" si="4"/>
        <v>6.774635659938166E-3</v>
      </c>
      <c r="AB63" s="74">
        <v>16.330556705999999</v>
      </c>
      <c r="AC63" s="2">
        <f t="shared" si="5"/>
        <v>12.910752421145837</v>
      </c>
      <c r="AD63" s="2">
        <f t="shared" si="16"/>
        <v>5.714458318519966E-3</v>
      </c>
      <c r="AE63" s="57">
        <f t="shared" si="7"/>
        <v>7.3777956571368625E-2</v>
      </c>
      <c r="AG63" s="89"/>
    </row>
    <row r="64" spans="9:33" x14ac:dyDescent="0.2">
      <c r="I64" s="56">
        <f t="shared" si="14"/>
        <v>57</v>
      </c>
      <c r="J64" s="19">
        <f t="shared" si="9"/>
        <v>3.4544193672105351E-2</v>
      </c>
      <c r="K64" s="19">
        <f t="shared" si="10"/>
        <v>1.8496503077525529E-2</v>
      </c>
      <c r="L64" s="19">
        <f t="shared" si="11"/>
        <v>0.17007569112573925</v>
      </c>
      <c r="M64" s="19">
        <f t="shared" si="12"/>
        <v>0.32985728491006738</v>
      </c>
      <c r="N64" s="85">
        <f t="shared" si="13"/>
        <v>0.44702632721456281</v>
      </c>
      <c r="O64" s="19"/>
      <c r="P64" s="64">
        <f t="shared" si="15"/>
        <v>0.1808657926171221</v>
      </c>
      <c r="Q64" s="12"/>
      <c r="R64" s="12">
        <v>1</v>
      </c>
      <c r="S64" s="12"/>
      <c r="T64" s="65">
        <f t="shared" si="1"/>
        <v>0.1808657926171221</v>
      </c>
      <c r="V64" s="55">
        <f t="shared" si="2"/>
        <v>65.179527198926266</v>
      </c>
      <c r="W64" s="11"/>
      <c r="X64" s="76">
        <f t="shared" si="3"/>
        <v>3.4034678168387657E-2</v>
      </c>
      <c r="Y64" s="77"/>
      <c r="Z64" s="76">
        <f t="shared" si="4"/>
        <v>6.3903784569982816E-3</v>
      </c>
      <c r="AB64" s="74">
        <v>15.557598722</v>
      </c>
      <c r="AC64" s="2">
        <f t="shared" si="5"/>
        <v>12.431645032341947</v>
      </c>
      <c r="AD64" s="2">
        <f t="shared" si="16"/>
        <v>5.552553416194983E-3</v>
      </c>
      <c r="AE64" s="57">
        <f t="shared" si="7"/>
        <v>6.9027373093253672E-2</v>
      </c>
      <c r="AG64" s="89"/>
    </row>
    <row r="65" spans="9:33" x14ac:dyDescent="0.2">
      <c r="I65" s="56">
        <f t="shared" si="14"/>
        <v>58</v>
      </c>
      <c r="J65" s="19">
        <f t="shared" si="9"/>
        <v>3.2563607923975377E-2</v>
      </c>
      <c r="K65" s="19">
        <f t="shared" si="10"/>
        <v>1.7444550368531937E-2</v>
      </c>
      <c r="L65" s="19">
        <f t="shared" si="11"/>
        <v>0.16552174573409689</v>
      </c>
      <c r="M65" s="19">
        <f t="shared" si="12"/>
        <v>0.3320503222858216</v>
      </c>
      <c r="N65" s="85">
        <f t="shared" si="13"/>
        <v>0.45241977368757452</v>
      </c>
      <c r="O65" s="19"/>
      <c r="P65" s="64">
        <f t="shared" si="15"/>
        <v>0.17552040061699686</v>
      </c>
      <c r="Q65" s="12"/>
      <c r="R65" s="12">
        <v>1</v>
      </c>
      <c r="S65" s="12"/>
      <c r="T65" s="65">
        <f t="shared" si="1"/>
        <v>0.17552040061699686</v>
      </c>
      <c r="V65" s="55">
        <f t="shared" si="2"/>
        <v>61.452539588832408</v>
      </c>
      <c r="W65" s="11"/>
      <c r="X65" s="76">
        <f t="shared" si="3"/>
        <v>3.1866312751814375E-2</v>
      </c>
      <c r="Y65" s="77"/>
      <c r="Z65" s="76">
        <f t="shared" si="4"/>
        <v>6.0258365915034978E-3</v>
      </c>
      <c r="AB65" s="74">
        <v>14.784640738</v>
      </c>
      <c r="AC65" s="2">
        <f t="shared" si="5"/>
        <v>11.941297933386169</v>
      </c>
      <c r="AD65" s="2">
        <f t="shared" si="16"/>
        <v>5.3934464730117093E-3</v>
      </c>
      <c r="AE65" s="57">
        <f t="shared" si="7"/>
        <v>6.4404751222003648E-2</v>
      </c>
      <c r="AG65" s="89"/>
    </row>
    <row r="66" spans="9:33" x14ac:dyDescent="0.2">
      <c r="I66" s="58">
        <f t="shared" si="14"/>
        <v>59</v>
      </c>
      <c r="J66" s="86">
        <f t="shared" si="9"/>
        <v>3.0696578738865228E-2</v>
      </c>
      <c r="K66" s="86">
        <f t="shared" si="10"/>
        <v>1.6451721462932573E-2</v>
      </c>
      <c r="L66" s="86">
        <f t="shared" si="11"/>
        <v>0.16102604289392008</v>
      </c>
      <c r="M66" s="86">
        <f t="shared" si="12"/>
        <v>0.3341686537739656</v>
      </c>
      <c r="N66" s="87">
        <f t="shared" si="13"/>
        <v>0.45765700313031682</v>
      </c>
      <c r="O66" s="19"/>
      <c r="P66" s="66">
        <f t="shared" si="15"/>
        <v>0.17033298882540943</v>
      </c>
      <c r="Q66" s="67"/>
      <c r="R66" s="68">
        <v>0.5</v>
      </c>
      <c r="S66" s="67"/>
      <c r="T66" s="69">
        <f t="shared" si="1"/>
        <v>8.5166494412704713E-2</v>
      </c>
      <c r="V66" s="55">
        <f t="shared" si="2"/>
        <v>28.959898608984847</v>
      </c>
      <c r="W66" s="11"/>
      <c r="X66" s="76">
        <f t="shared" si="3"/>
        <v>1.4916617539442321E-2</v>
      </c>
      <c r="Y66" s="77"/>
      <c r="Z66" s="76">
        <f t="shared" si="4"/>
        <v>2.8401037007957756E-3</v>
      </c>
      <c r="AB66" s="75">
        <v>14.011682754000001</v>
      </c>
      <c r="AC66" s="59">
        <f t="shared" si="5"/>
        <v>11.439447444178276</v>
      </c>
      <c r="AD66" s="59">
        <f t="shared" si="16"/>
        <v>5.2372294427422972E-3</v>
      </c>
      <c r="AE66" s="136">
        <f t="shared" si="7"/>
        <v>2.9955505481676793E-2</v>
      </c>
      <c r="AG66" s="89"/>
    </row>
    <row r="67" spans="9:33" x14ac:dyDescent="0.2">
      <c r="P67" s="12"/>
      <c r="Q67" s="12"/>
      <c r="R67" s="12"/>
      <c r="S67" s="12"/>
      <c r="T67" s="12"/>
      <c r="V67" s="11"/>
      <c r="W67" s="11"/>
      <c r="Y67" s="11"/>
    </row>
  </sheetData>
  <mergeCells count="13">
    <mergeCell ref="AH6:AL6"/>
    <mergeCell ref="AJ7:AL7"/>
    <mergeCell ref="C16:G16"/>
    <mergeCell ref="A18:A22"/>
    <mergeCell ref="AH7:AI7"/>
    <mergeCell ref="I2:N5"/>
    <mergeCell ref="P2:T2"/>
    <mergeCell ref="V2:AE2"/>
    <mergeCell ref="AB4:AE4"/>
    <mergeCell ref="V5:V6"/>
    <mergeCell ref="X5:X6"/>
    <mergeCell ref="Z5:Z6"/>
    <mergeCell ref="AE5:AE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E725E-EADF-2640-BDC5-AC0440007E81}">
  <sheetPr codeName="Sheet8"/>
  <dimension ref="A2:AL67"/>
  <sheetViews>
    <sheetView topLeftCell="X3" zoomScale="151" zoomScaleNormal="151" workbookViewId="0">
      <selection activeCell="AE5" sqref="AE5:AE66"/>
    </sheetView>
  </sheetViews>
  <sheetFormatPr baseColWidth="10" defaultRowHeight="16" x14ac:dyDescent="0.2"/>
  <cols>
    <col min="1" max="1" width="10.83203125" style="2"/>
    <col min="2" max="2" width="12.33203125" style="2" customWidth="1"/>
    <col min="3" max="3" width="10.83203125" style="2"/>
    <col min="4" max="4" width="12.33203125" style="2" customWidth="1"/>
    <col min="5" max="6" width="15.1640625" style="2" customWidth="1"/>
    <col min="7" max="7" width="19.33203125" style="2" customWidth="1"/>
    <col min="8" max="8" width="10.83203125" style="2"/>
    <col min="9" max="9" width="10.83203125" style="10"/>
    <col min="10" max="13" width="10.83203125" style="2"/>
    <col min="14" max="14" width="15" style="2" customWidth="1"/>
    <col min="15" max="15" width="3.33203125" style="2" customWidth="1"/>
    <col min="16" max="16" width="14.5" style="2" customWidth="1"/>
    <col min="17" max="17" width="2.33203125" style="2" customWidth="1"/>
    <col min="18" max="18" width="10.83203125" style="2"/>
    <col min="19" max="19" width="2.6640625" style="2" customWidth="1"/>
    <col min="20" max="20" width="14.6640625" style="2" customWidth="1"/>
    <col min="21" max="21" width="1.83203125" style="2" customWidth="1"/>
    <col min="22" max="22" width="15" style="2" customWidth="1"/>
    <col min="23" max="23" width="2.33203125" style="2" customWidth="1"/>
    <col min="24" max="24" width="15" style="52" customWidth="1"/>
    <col min="25" max="25" width="2.1640625" style="2" customWidth="1"/>
    <col min="26" max="26" width="15" style="52" customWidth="1"/>
    <col min="27" max="27" width="2.83203125" style="2" customWidth="1"/>
    <col min="28" max="28" width="13.83203125" style="2" customWidth="1"/>
    <col min="29" max="29" width="15.33203125" style="2" customWidth="1"/>
    <col min="30" max="30" width="19.6640625" style="2" customWidth="1"/>
    <col min="31" max="31" width="15" style="2" customWidth="1"/>
    <col min="32" max="32" width="2.83203125" style="2" customWidth="1"/>
    <col min="33" max="33" width="4.83203125" style="2" customWidth="1"/>
    <col min="34" max="34" width="15.83203125" style="2" customWidth="1"/>
    <col min="35" max="35" width="15.5" style="2" customWidth="1"/>
    <col min="36" max="37" width="10.83203125" style="2"/>
    <col min="38" max="38" width="16.33203125" style="2" customWidth="1"/>
    <col min="39" max="16384" width="10.83203125" style="2"/>
  </cols>
  <sheetData>
    <row r="2" spans="2:38" ht="16" customHeight="1" x14ac:dyDescent="0.2">
      <c r="I2" s="113" t="s">
        <v>5</v>
      </c>
      <c r="J2" s="114"/>
      <c r="K2" s="114"/>
      <c r="L2" s="114"/>
      <c r="M2" s="114"/>
      <c r="N2" s="115"/>
      <c r="O2" s="7"/>
      <c r="P2" s="128" t="s">
        <v>102</v>
      </c>
      <c r="Q2" s="129"/>
      <c r="R2" s="129"/>
      <c r="S2" s="129"/>
      <c r="T2" s="130"/>
      <c r="V2" s="128" t="s">
        <v>108</v>
      </c>
      <c r="W2" s="129"/>
      <c r="X2" s="129"/>
      <c r="Y2" s="129"/>
      <c r="Z2" s="129"/>
      <c r="AA2" s="129"/>
      <c r="AB2" s="129"/>
      <c r="AC2" s="129"/>
      <c r="AD2" s="129"/>
      <c r="AE2" s="130"/>
    </row>
    <row r="3" spans="2:38" x14ac:dyDescent="0.2">
      <c r="I3" s="116"/>
      <c r="J3" s="117"/>
      <c r="K3" s="117"/>
      <c r="L3" s="117"/>
      <c r="M3" s="117"/>
      <c r="N3" s="118"/>
      <c r="O3" s="7"/>
      <c r="P3" s="78"/>
      <c r="Q3" s="79"/>
      <c r="R3" s="79"/>
      <c r="S3" s="79"/>
      <c r="T3" s="80"/>
      <c r="V3" s="78"/>
      <c r="W3" s="79"/>
      <c r="X3" s="79"/>
      <c r="Y3" s="79"/>
      <c r="Z3" s="79"/>
      <c r="AA3" s="79"/>
      <c r="AB3" s="79"/>
      <c r="AC3" s="79"/>
      <c r="AD3" s="79"/>
      <c r="AE3" s="80"/>
    </row>
    <row r="4" spans="2:38" ht="18" customHeight="1" x14ac:dyDescent="0.2">
      <c r="I4" s="116"/>
      <c r="J4" s="117"/>
      <c r="K4" s="117"/>
      <c r="L4" s="117"/>
      <c r="M4" s="117"/>
      <c r="N4" s="118"/>
      <c r="O4" s="7"/>
      <c r="P4" s="56"/>
      <c r="Q4" s="10"/>
      <c r="R4" s="10"/>
      <c r="S4" s="10"/>
      <c r="T4" s="63"/>
      <c r="V4" s="92"/>
      <c r="W4" s="73"/>
      <c r="X4" s="91"/>
      <c r="Y4" s="73"/>
      <c r="Z4" s="91"/>
      <c r="AA4" s="5"/>
      <c r="AB4" s="125" t="s">
        <v>103</v>
      </c>
      <c r="AC4" s="131"/>
      <c r="AD4" s="131"/>
      <c r="AE4" s="126"/>
      <c r="AG4" s="73"/>
    </row>
    <row r="5" spans="2:38" ht="184" customHeight="1" x14ac:dyDescent="0.2">
      <c r="I5" s="119"/>
      <c r="J5" s="120"/>
      <c r="K5" s="120"/>
      <c r="L5" s="120"/>
      <c r="M5" s="120"/>
      <c r="N5" s="121"/>
      <c r="O5" s="7"/>
      <c r="P5" s="70" t="s">
        <v>110</v>
      </c>
      <c r="Q5" s="6"/>
      <c r="R5" s="70" t="s">
        <v>111</v>
      </c>
      <c r="S5" s="7"/>
      <c r="T5" s="70" t="s">
        <v>112</v>
      </c>
      <c r="U5" s="6"/>
      <c r="V5" s="132" t="s">
        <v>97</v>
      </c>
      <c r="W5" s="7"/>
      <c r="X5" s="134" t="s">
        <v>95</v>
      </c>
      <c r="Y5" s="7"/>
      <c r="Z5" s="134" t="s">
        <v>96</v>
      </c>
      <c r="AA5" s="90"/>
      <c r="AB5" s="70" t="s">
        <v>115</v>
      </c>
      <c r="AC5" s="70" t="s">
        <v>113</v>
      </c>
      <c r="AD5" s="70" t="s">
        <v>114</v>
      </c>
      <c r="AE5" s="132" t="s">
        <v>174</v>
      </c>
      <c r="AF5" s="7"/>
      <c r="AG5" s="88"/>
    </row>
    <row r="6" spans="2:38" ht="17" thickBot="1" x14ac:dyDescent="0.25">
      <c r="I6" s="9" t="s">
        <v>8</v>
      </c>
      <c r="J6" s="8" t="s">
        <v>1</v>
      </c>
      <c r="K6" s="8" t="s">
        <v>3</v>
      </c>
      <c r="L6" s="8" t="s">
        <v>17</v>
      </c>
      <c r="M6" s="8" t="s">
        <v>52</v>
      </c>
      <c r="N6" s="8" t="s">
        <v>51</v>
      </c>
      <c r="O6" s="5"/>
      <c r="P6" s="72"/>
      <c r="Q6" s="5"/>
      <c r="R6" s="72"/>
      <c r="S6" s="5"/>
      <c r="T6" s="72"/>
      <c r="U6" s="5"/>
      <c r="V6" s="133"/>
      <c r="W6" s="91"/>
      <c r="X6" s="135"/>
      <c r="Y6" s="91"/>
      <c r="Z6" s="135"/>
      <c r="AA6" s="91"/>
      <c r="AB6" s="71"/>
      <c r="AC6" s="71"/>
      <c r="AD6" s="71"/>
      <c r="AE6" s="133"/>
      <c r="AG6" s="88"/>
      <c r="AH6" s="122" t="s">
        <v>109</v>
      </c>
      <c r="AI6" s="123"/>
      <c r="AJ6" s="123"/>
      <c r="AK6" s="123"/>
      <c r="AL6" s="124"/>
    </row>
    <row r="7" spans="2:38" x14ac:dyDescent="0.2">
      <c r="B7" s="54" t="s">
        <v>9</v>
      </c>
      <c r="I7" s="56">
        <v>0</v>
      </c>
      <c r="J7" s="19">
        <v>1</v>
      </c>
      <c r="K7" s="19">
        <v>0</v>
      </c>
      <c r="L7" s="19">
        <v>0</v>
      </c>
      <c r="M7" s="19">
        <v>0</v>
      </c>
      <c r="N7" s="85">
        <v>0</v>
      </c>
      <c r="O7" s="19"/>
      <c r="P7" s="64">
        <f t="shared" ref="P7:P38" si="0">EXP(-r_Delta_t * I7)</f>
        <v>1</v>
      </c>
      <c r="Q7" s="12"/>
      <c r="R7" s="13">
        <v>0.5</v>
      </c>
      <c r="S7" s="13"/>
      <c r="T7" s="65">
        <f>P7*R7</f>
        <v>0.5</v>
      </c>
      <c r="V7" s="55">
        <f>T7*($E$9*J7+$E$10*K7+$E$11*L7+$E$12*M7*$E$13*N7)</f>
        <v>75</v>
      </c>
      <c r="W7" s="11"/>
      <c r="X7" s="76">
        <f>T7*($F$9*J7+$F$10*K7+$F$11*L7+$F$12*M7+$F$13*N7)</f>
        <v>0.5</v>
      </c>
      <c r="Y7" s="77"/>
      <c r="Z7" s="76">
        <f>T7*($G$9*J7+$G$10*K7+$G$11*L7+$G$12*M7+$G$13*N7)</f>
        <v>0</v>
      </c>
      <c r="AB7" s="74">
        <v>69.107567919999994</v>
      </c>
      <c r="AC7" s="2">
        <f>(1/r_ann)*(1-EXP(-r_ann*AB7))</f>
        <v>29.140692274277946</v>
      </c>
      <c r="AD7" s="2">
        <f>0</f>
        <v>0</v>
      </c>
      <c r="AE7" s="57">
        <f>R7*AC7*AD7</f>
        <v>0</v>
      </c>
      <c r="AG7" s="93"/>
      <c r="AH7" s="125"/>
      <c r="AI7" s="126"/>
      <c r="AJ7" s="127" t="s">
        <v>101</v>
      </c>
      <c r="AK7" s="127"/>
      <c r="AL7" s="127"/>
    </row>
    <row r="8" spans="2:38" ht="17" thickBot="1" x14ac:dyDescent="0.25">
      <c r="C8" s="81" t="s">
        <v>6</v>
      </c>
      <c r="D8" s="81" t="s">
        <v>104</v>
      </c>
      <c r="E8" s="81" t="s">
        <v>105</v>
      </c>
      <c r="F8" s="81" t="s">
        <v>106</v>
      </c>
      <c r="G8" s="81" t="s">
        <v>107</v>
      </c>
      <c r="I8" s="56">
        <f>I7+1</f>
        <v>1</v>
      </c>
      <c r="J8" s="19">
        <f>J7*$C$18+K7*$C$19+L7*$C$20+M7*$C$21+N7*$C$22</f>
        <v>0.94626767564864811</v>
      </c>
      <c r="K8" s="19">
        <f>J7*$D$18+K7*$D$19+L7*$D$20+M7*$D$21+N7*$D$22</f>
        <v>4.0528278579595498E-2</v>
      </c>
      <c r="L8" s="19">
        <f>J7*$E$18+K7*$E$19+L7*$E$20+M7*$E$21+N7*$E$22</f>
        <v>2.7609199376632402E-3</v>
      </c>
      <c r="M8" s="19">
        <f>J7*$F$18+K7*$F$19+L7*$F$20+M7*$F$21+N7*$F$22</f>
        <v>9.9485170055332601E-3</v>
      </c>
      <c r="N8" s="85">
        <f>J7*$G$18+K7*$G$19+L7*$G$20+M7*$G$21+N7*$G$22</f>
        <v>4.9460882855984205E-4</v>
      </c>
      <c r="O8" s="19"/>
      <c r="P8" s="64">
        <f t="shared" si="0"/>
        <v>0.97044553354850815</v>
      </c>
      <c r="Q8" s="12"/>
      <c r="R8" s="12">
        <v>1</v>
      </c>
      <c r="S8" s="12"/>
      <c r="T8" s="65">
        <f t="shared" ref="T8:T66" si="1">P8*R8</f>
        <v>0.97044553354850815</v>
      </c>
      <c r="V8" s="55">
        <f t="shared" ref="V8:V66" si="2">T8*($E$9*J8+$E$10*K8+$E$11*L8+$E$12*M8*$E$13*N8)</f>
        <v>182.43431768014264</v>
      </c>
      <c r="W8" s="11"/>
      <c r="X8" s="76">
        <f t="shared" ref="X8:X66" si="3">T8*($F$9*J8+$F$10*K8+$F$11*L8+$F$12*M8+$F$13*N8)</f>
        <v>0.95780865989563035</v>
      </c>
      <c r="Y8" s="77"/>
      <c r="Z8" s="76">
        <f t="shared" ref="Z8:Z66" si="4">T8*($G$9*J8+$G$10*K8+$G$11*L8+$G$12*M8+$G$13*N8)</f>
        <v>4.4025448191992089E-3</v>
      </c>
      <c r="AB8" s="74">
        <v>68.115914398000001</v>
      </c>
      <c r="AC8" s="2">
        <f t="shared" ref="AC8:AC66" si="5">(1/r_ann)*(1-EXP(-r_ann*AB8))</f>
        <v>29.014088994539382</v>
      </c>
      <c r="AD8" s="2">
        <f t="shared" ref="AD8:AD39" si="6">N8-N7</f>
        <v>4.9460882855984205E-4</v>
      </c>
      <c r="AE8" s="57">
        <f t="shared" ref="AE8:AE66" si="7">R8*AC8*AD8</f>
        <v>1.4350624569320129E-2</v>
      </c>
      <c r="AG8" s="93"/>
      <c r="AH8" s="94" t="s">
        <v>125</v>
      </c>
      <c r="AI8" s="94" t="s">
        <v>126</v>
      </c>
      <c r="AJ8" s="60" t="s">
        <v>127</v>
      </c>
      <c r="AK8" s="60" t="s">
        <v>128</v>
      </c>
      <c r="AL8" s="60" t="s">
        <v>129</v>
      </c>
    </row>
    <row r="9" spans="2:38" x14ac:dyDescent="0.2">
      <c r="C9" s="82" t="s">
        <v>73</v>
      </c>
      <c r="D9" s="82" t="s">
        <v>1</v>
      </c>
      <c r="E9" s="97">
        <f>c_TxB</f>
        <v>150</v>
      </c>
      <c r="F9" s="82">
        <f>uHealthy</f>
        <v>1</v>
      </c>
      <c r="G9" s="82">
        <v>0</v>
      </c>
      <c r="I9" s="56">
        <f t="shared" ref="I9:I10" si="8">I8+1</f>
        <v>2</v>
      </c>
      <c r="J9" s="19">
        <f>J8*$C$18+K8*$C$19+L8*$C$20+M8*$C$21+N8*$C$22</f>
        <v>0.89542251397749506</v>
      </c>
      <c r="K9" s="19">
        <f>J8*$D$18+K8*$D$19+L8*$D$20+M8*$D$21+N8*$D$22</f>
        <v>7.3233612613789384E-2</v>
      </c>
      <c r="L9" s="19">
        <f>J8*$E$18+K8*$E$19+L8*$E$20+M8*$E$21+N8*$E$22</f>
        <v>9.6901004491318186E-3</v>
      </c>
      <c r="M9" s="19">
        <f>J8*$F$18+K8*$F$19+L8*$F$20+M8*$F$21+N8*$F$22</f>
        <v>1.9788728513088827E-2</v>
      </c>
      <c r="N9" s="85">
        <f>J8*$G$18+K8*$G$19+L8*$G$20+M8*$G$21+N8*$G$22</f>
        <v>1.8650444464947606E-3</v>
      </c>
      <c r="O9" s="19"/>
      <c r="P9" s="64">
        <f t="shared" si="0"/>
        <v>0.94176453358424872</v>
      </c>
      <c r="Q9" s="12"/>
      <c r="R9" s="12">
        <v>1</v>
      </c>
      <c r="S9" s="12"/>
      <c r="T9" s="65">
        <f t="shared" si="1"/>
        <v>0.94176453358424872</v>
      </c>
      <c r="V9" s="55">
        <f t="shared" si="2"/>
        <v>213.71197982116487</v>
      </c>
      <c r="W9" s="11"/>
      <c r="X9" s="76">
        <f t="shared" si="3"/>
        <v>0.91609817865535914</v>
      </c>
      <c r="Y9" s="77"/>
      <c r="Z9" s="76">
        <f t="shared" si="4"/>
        <v>8.5925084335936684E-3</v>
      </c>
      <c r="AB9" s="74">
        <v>67.124260875999994</v>
      </c>
      <c r="AC9" s="2">
        <f t="shared" si="5"/>
        <v>28.883662733006101</v>
      </c>
      <c r="AD9" s="2">
        <f t="shared" si="6"/>
        <v>1.3704356179349187E-3</v>
      </c>
      <c r="AE9" s="57">
        <f t="shared" si="7"/>
        <v>3.9583200185730999E-2</v>
      </c>
      <c r="AG9" s="93"/>
      <c r="AH9" s="61">
        <f>SUM(V7:V66)</f>
        <v>13855.465780422239</v>
      </c>
      <c r="AI9" s="62">
        <f>SUM(X7:X66)</f>
        <v>18.092938999567174</v>
      </c>
      <c r="AJ9" s="62">
        <f>SUM(Z7:Z66)</f>
        <v>1.1926196762811763</v>
      </c>
      <c r="AK9" s="62">
        <f>SUM(AE7:AE66)</f>
        <v>9.7924287734842483</v>
      </c>
      <c r="AL9" s="62">
        <f>AJ9+AK9</f>
        <v>10.985048449765424</v>
      </c>
    </row>
    <row r="10" spans="2:38" x14ac:dyDescent="0.2">
      <c r="C10" s="83" t="s">
        <v>73</v>
      </c>
      <c r="D10" s="83" t="s">
        <v>3</v>
      </c>
      <c r="E10" s="83">
        <f>c_Sick</f>
        <v>1000</v>
      </c>
      <c r="F10" s="83">
        <f>uS1_</f>
        <v>0.95</v>
      </c>
      <c r="G10" s="83">
        <f>dwS1_</f>
        <v>9.8514888171639503E-2</v>
      </c>
      <c r="I10" s="56">
        <f t="shared" si="8"/>
        <v>3</v>
      </c>
      <c r="J10" s="19">
        <f t="shared" ref="J10:J66" si="9">J9*$C$18+K9*$C$19+L9*$C$20+M9*$C$21+N9*$C$22</f>
        <v>0.84730938102495335</v>
      </c>
      <c r="K10" s="19">
        <f t="shared" ref="K10:K66" si="10">J9*$D$18+K9*$D$19+L9*$D$20+M9*$D$21+N9*$D$22</f>
        <v>9.9322687612032917E-2</v>
      </c>
      <c r="L10" s="19">
        <f t="shared" ref="L10:L66" si="11">J9*$E$18+K9*$E$19+L9*$E$20+M9*$E$21+N9*$E$22</f>
        <v>1.9777965579531254E-2</v>
      </c>
      <c r="M10" s="19">
        <f t="shared" ref="M10:M66" si="12">J9*$F$18+K9*$F$19+L9*$F$20+M9*$F$21+N9*$F$22</f>
        <v>2.9513164631047174E-2</v>
      </c>
      <c r="N10" s="85">
        <f t="shared" ref="N10:N66" si="13">J9*$G$18+K9*$G$19+L9*$G$20+M9*$G$21+N9*$G$22</f>
        <v>4.0768011524350781E-3</v>
      </c>
      <c r="O10" s="19"/>
      <c r="P10" s="64">
        <f t="shared" si="0"/>
        <v>0.91393118527122819</v>
      </c>
      <c r="Q10" s="12"/>
      <c r="R10" s="12">
        <v>1</v>
      </c>
      <c r="S10" s="12"/>
      <c r="T10" s="65">
        <f t="shared" si="1"/>
        <v>0.91393118527122819</v>
      </c>
      <c r="V10" s="55">
        <f t="shared" si="2"/>
        <v>243.08287069603321</v>
      </c>
      <c r="W10" s="11"/>
      <c r="X10" s="76">
        <f t="shared" si="3"/>
        <v>0.87507842304395977</v>
      </c>
      <c r="Y10" s="77"/>
      <c r="Z10" s="76">
        <f t="shared" si="4"/>
        <v>1.2504051503875672E-2</v>
      </c>
      <c r="AB10" s="74">
        <v>66.132607354000001</v>
      </c>
      <c r="AC10" s="2">
        <f t="shared" si="5"/>
        <v>28.749298048831442</v>
      </c>
      <c r="AD10" s="2">
        <f t="shared" si="6"/>
        <v>2.2117567059403175E-3</v>
      </c>
      <c r="AE10" s="57">
        <f t="shared" si="7"/>
        <v>6.3586452750579822E-2</v>
      </c>
      <c r="AG10" s="89"/>
      <c r="AH10" s="5"/>
    </row>
    <row r="11" spans="2:38" x14ac:dyDescent="0.2">
      <c r="C11" s="83" t="s">
        <v>73</v>
      </c>
      <c r="D11" s="83" t="s">
        <v>17</v>
      </c>
      <c r="E11" s="83">
        <f>c_Sicker</f>
        <v>2000</v>
      </c>
      <c r="F11" s="83">
        <f>uS2_</f>
        <v>0.8</v>
      </c>
      <c r="G11" s="83">
        <f>dwS2_</f>
        <v>0.19702977634327901</v>
      </c>
      <c r="I11" s="56">
        <f>I10+1</f>
        <v>4</v>
      </c>
      <c r="J11" s="19">
        <f t="shared" si="9"/>
        <v>0.80178147853777737</v>
      </c>
      <c r="K11" s="19">
        <f t="shared" si="10"/>
        <v>0.11982782010493497</v>
      </c>
      <c r="L11" s="19">
        <f t="shared" si="11"/>
        <v>3.2185842756407748E-2</v>
      </c>
      <c r="M11" s="19">
        <f t="shared" si="12"/>
        <v>3.9114800968931385E-2</v>
      </c>
      <c r="N11" s="85">
        <f t="shared" si="13"/>
        <v>7.0900576319482761E-3</v>
      </c>
      <c r="O11" s="19"/>
      <c r="P11" s="64">
        <f t="shared" si="0"/>
        <v>0.88692043671715748</v>
      </c>
      <c r="Q11" s="12"/>
      <c r="R11" s="12">
        <v>1</v>
      </c>
      <c r="S11" s="12"/>
      <c r="T11" s="65">
        <f t="shared" si="1"/>
        <v>0.88692043671715748</v>
      </c>
      <c r="V11" s="55">
        <f t="shared" si="2"/>
        <v>270.03776283004782</v>
      </c>
      <c r="W11" s="11"/>
      <c r="X11" s="76">
        <f t="shared" si="3"/>
        <v>0.83491725987876919</v>
      </c>
      <c r="Y11" s="77"/>
      <c r="Z11" s="76">
        <f t="shared" si="4"/>
        <v>1.6094407422765619E-2</v>
      </c>
      <c r="AB11" s="74">
        <v>65.140953831999994</v>
      </c>
      <c r="AC11" s="2">
        <f t="shared" si="5"/>
        <v>28.610876015253876</v>
      </c>
      <c r="AD11" s="2">
        <f t="shared" si="6"/>
        <v>3.013256479513198E-3</v>
      </c>
      <c r="AE11" s="57">
        <f t="shared" si="7"/>
        <v>8.6211907537512483E-2</v>
      </c>
      <c r="AG11" s="89"/>
      <c r="AH11" s="5"/>
    </row>
    <row r="12" spans="2:38" x14ac:dyDescent="0.2">
      <c r="C12" s="83" t="s">
        <v>73</v>
      </c>
      <c r="D12" s="83" t="s">
        <v>52</v>
      </c>
      <c r="E12" s="83">
        <f>c_DeadBG</f>
        <v>0</v>
      </c>
      <c r="F12" s="83">
        <f>uDeadBG</f>
        <v>0</v>
      </c>
      <c r="G12" s="83">
        <f>0</f>
        <v>0</v>
      </c>
      <c r="I12" s="56">
        <f>I11+1</f>
        <v>5</v>
      </c>
      <c r="J12" s="19">
        <f t="shared" si="9"/>
        <v>0.75869989607407906</v>
      </c>
      <c r="K12" s="19">
        <f t="shared" si="10"/>
        <v>0.13563158368408346</v>
      </c>
      <c r="L12" s="19">
        <f t="shared" si="11"/>
        <v>4.6220247020159554E-2</v>
      </c>
      <c r="M12" s="19">
        <f t="shared" si="12"/>
        <v>4.8587099405848266E-2</v>
      </c>
      <c r="N12" s="85">
        <f t="shared" si="13"/>
        <v>1.0861173815829387E-2</v>
      </c>
      <c r="O12" s="19"/>
      <c r="P12" s="64">
        <f t="shared" si="0"/>
        <v>0.86070797642505781</v>
      </c>
      <c r="Q12" s="12"/>
      <c r="R12" s="12">
        <v>1</v>
      </c>
      <c r="S12" s="12"/>
      <c r="T12" s="65">
        <f t="shared" si="1"/>
        <v>0.86070797642505781</v>
      </c>
      <c r="V12" s="55">
        <f t="shared" si="2"/>
        <v>294.2563143368024</v>
      </c>
      <c r="W12" s="11"/>
      <c r="X12" s="76">
        <f t="shared" si="3"/>
        <v>0.7957469871253432</v>
      </c>
      <c r="Y12" s="77"/>
      <c r="Z12" s="76">
        <f t="shared" si="4"/>
        <v>1.9338813064530815E-2</v>
      </c>
      <c r="AB12" s="74">
        <v>64.149300310000001</v>
      </c>
      <c r="AC12" s="2">
        <f t="shared" si="5"/>
        <v>28.468274114334424</v>
      </c>
      <c r="AD12" s="2">
        <f t="shared" si="6"/>
        <v>3.7711161838811106E-3</v>
      </c>
      <c r="AE12" s="57">
        <f t="shared" si="7"/>
        <v>0.10735716923973024</v>
      </c>
      <c r="AG12" s="89"/>
      <c r="AH12" s="5"/>
    </row>
    <row r="13" spans="2:38" x14ac:dyDescent="0.2">
      <c r="C13" s="83" t="s">
        <v>73</v>
      </c>
      <c r="D13" s="83" t="s">
        <v>51</v>
      </c>
      <c r="E13" s="83">
        <f>c_DeadDisease</f>
        <v>0</v>
      </c>
      <c r="F13" s="83">
        <f>uDeadDisease</f>
        <v>0</v>
      </c>
      <c r="G13" s="83">
        <f>0</f>
        <v>0</v>
      </c>
      <c r="I13" s="56">
        <f t="shared" ref="I13:I66" si="14">I12+1</f>
        <v>6</v>
      </c>
      <c r="J13" s="19">
        <f t="shared" si="9"/>
        <v>0.71793318717288968</v>
      </c>
      <c r="K13" s="19">
        <f t="shared" si="10"/>
        <v>0.14748798667845381</v>
      </c>
      <c r="L13" s="19">
        <f t="shared" si="11"/>
        <v>6.1310861013156949E-2</v>
      </c>
      <c r="M13" s="19">
        <f t="shared" si="12"/>
        <v>5.7924034877106387E-2</v>
      </c>
      <c r="N13" s="85">
        <f t="shared" si="13"/>
        <v>1.5343930258392863E-2</v>
      </c>
      <c r="O13" s="19"/>
      <c r="P13" s="64">
        <f t="shared" si="0"/>
        <v>0.835270211411272</v>
      </c>
      <c r="Q13" s="12"/>
      <c r="R13" s="12">
        <v>1</v>
      </c>
      <c r="S13" s="12"/>
      <c r="T13" s="65">
        <f t="shared" si="1"/>
        <v>0.835270211411272</v>
      </c>
      <c r="V13" s="55">
        <f t="shared" si="2"/>
        <v>315.56482424842858</v>
      </c>
      <c r="W13" s="11"/>
      <c r="X13" s="76">
        <f t="shared" si="3"/>
        <v>0.75766981942413947</v>
      </c>
      <c r="Y13" s="77"/>
      <c r="Z13" s="76">
        <f t="shared" si="4"/>
        <v>2.2226396447958055E-2</v>
      </c>
      <c r="AB13" s="74">
        <v>63.158695668</v>
      </c>
      <c r="AC13" s="2">
        <f t="shared" si="5"/>
        <v>28.321523834599102</v>
      </c>
      <c r="AD13" s="2">
        <f t="shared" si="6"/>
        <v>4.4827564425634764E-3</v>
      </c>
      <c r="AE13" s="57">
        <f t="shared" si="7"/>
        <v>0.12695849343276416</v>
      </c>
      <c r="AG13" s="89"/>
    </row>
    <row r="14" spans="2:38" x14ac:dyDescent="0.2">
      <c r="I14" s="56">
        <f t="shared" si="14"/>
        <v>7</v>
      </c>
      <c r="J14" s="19">
        <f t="shared" si="9"/>
        <v>0.67935696829711611</v>
      </c>
      <c r="K14" s="19">
        <f t="shared" si="10"/>
        <v>0.15604068277229763</v>
      </c>
      <c r="L14" s="19">
        <f t="shared" si="11"/>
        <v>7.6991689389675461E-2</v>
      </c>
      <c r="M14" s="19">
        <f t="shared" si="12"/>
        <v>6.7120110681646458E-2</v>
      </c>
      <c r="N14" s="85">
        <f t="shared" si="13"/>
        <v>2.0490548859263939E-2</v>
      </c>
      <c r="O14" s="19"/>
      <c r="P14" s="64">
        <f t="shared" si="0"/>
        <v>0.81058424597018708</v>
      </c>
      <c r="Q14" s="12"/>
      <c r="R14" s="12">
        <v>1</v>
      </c>
      <c r="S14" s="12"/>
      <c r="T14" s="65">
        <f t="shared" si="1"/>
        <v>0.81058424597018708</v>
      </c>
      <c r="V14" s="55">
        <f t="shared" si="2"/>
        <v>333.90202854921444</v>
      </c>
      <c r="W14" s="11"/>
      <c r="X14" s="76">
        <f t="shared" si="3"/>
        <v>0.72076256951000417</v>
      </c>
      <c r="Y14" s="77"/>
      <c r="Z14" s="76">
        <f t="shared" si="4"/>
        <v>2.4756852493063742E-2</v>
      </c>
      <c r="AB14" s="74">
        <v>62.168091025999999</v>
      </c>
      <c r="AC14" s="2">
        <f t="shared" si="5"/>
        <v>28.17034696031828</v>
      </c>
      <c r="AD14" s="2">
        <f t="shared" si="6"/>
        <v>5.1466186008710755E-3</v>
      </c>
      <c r="AE14" s="57">
        <f t="shared" si="7"/>
        <v>0.14498203165896603</v>
      </c>
      <c r="AG14" s="89"/>
    </row>
    <row r="15" spans="2:38" x14ac:dyDescent="0.2">
      <c r="B15" s="53" t="s">
        <v>98</v>
      </c>
      <c r="I15" s="56">
        <f t="shared" si="14"/>
        <v>8</v>
      </c>
      <c r="J15" s="19">
        <f t="shared" si="9"/>
        <v>0.64285353932622435</v>
      </c>
      <c r="K15" s="19">
        <f t="shared" si="10"/>
        <v>0.16183862877506366</v>
      </c>
      <c r="L15" s="19">
        <f t="shared" si="11"/>
        <v>9.2884939295908367E-2</v>
      </c>
      <c r="M15" s="19">
        <f t="shared" si="12"/>
        <v>7.6170364430225151E-2</v>
      </c>
      <c r="N15" s="85">
        <f t="shared" si="13"/>
        <v>2.6252528172578012E-2</v>
      </c>
      <c r="O15" s="19"/>
      <c r="P15" s="64">
        <f t="shared" si="0"/>
        <v>0.78662786106655347</v>
      </c>
      <c r="Q15" s="12"/>
      <c r="R15" s="12">
        <v>1</v>
      </c>
      <c r="S15" s="12"/>
      <c r="T15" s="65">
        <f t="shared" si="1"/>
        <v>0.78662786106655347</v>
      </c>
      <c r="V15" s="55">
        <f t="shared" si="2"/>
        <v>349.29151233143415</v>
      </c>
      <c r="W15" s="11"/>
      <c r="X15" s="76">
        <f t="shared" si="3"/>
        <v>0.68508064518986966</v>
      </c>
      <c r="Y15" s="77"/>
      <c r="Z15" s="76">
        <f t="shared" si="4"/>
        <v>2.6937766858763156E-2</v>
      </c>
      <c r="AB15" s="74">
        <v>61.177486383999998</v>
      </c>
      <c r="AC15" s="2">
        <f t="shared" si="5"/>
        <v>28.01460996711771</v>
      </c>
      <c r="AD15" s="2">
        <f t="shared" si="6"/>
        <v>5.761979313314073E-3</v>
      </c>
      <c r="AE15" s="57">
        <f t="shared" si="7"/>
        <v>0.16141960310109449</v>
      </c>
      <c r="AG15" s="89"/>
    </row>
    <row r="16" spans="2:38" x14ac:dyDescent="0.2">
      <c r="C16" s="111" t="s">
        <v>99</v>
      </c>
      <c r="D16" s="111"/>
      <c r="E16" s="111"/>
      <c r="F16" s="111"/>
      <c r="G16" s="111"/>
      <c r="I16" s="56">
        <f t="shared" si="14"/>
        <v>9</v>
      </c>
      <c r="J16" s="19">
        <f t="shared" si="9"/>
        <v>0.60831152444073311</v>
      </c>
      <c r="K16" s="19">
        <f t="shared" si="10"/>
        <v>0.16534954600808338</v>
      </c>
      <c r="L16" s="19">
        <f t="shared" si="11"/>
        <v>0.10868724136944555</v>
      </c>
      <c r="M16" s="19">
        <f t="shared" si="12"/>
        <v>8.5070366426905158E-2</v>
      </c>
      <c r="N16" s="85">
        <f t="shared" si="13"/>
        <v>3.2581321754832318E-2</v>
      </c>
      <c r="O16" s="19"/>
      <c r="P16" s="64">
        <f t="shared" si="0"/>
        <v>0.76337949433685315</v>
      </c>
      <c r="Q16" s="12"/>
      <c r="R16" s="12">
        <v>1</v>
      </c>
      <c r="S16" s="12"/>
      <c r="T16" s="65">
        <f t="shared" si="1"/>
        <v>0.76337949433685315</v>
      </c>
      <c r="V16" s="55">
        <f t="shared" si="2"/>
        <v>361.81955712445574</v>
      </c>
      <c r="W16" s="11"/>
      <c r="X16" s="76">
        <f t="shared" si="3"/>
        <v>0.65066146319228213</v>
      </c>
      <c r="Y16" s="77"/>
      <c r="Z16" s="76">
        <f t="shared" si="4"/>
        <v>2.8782471823187918E-2</v>
      </c>
      <c r="AB16" s="74">
        <v>60.186881741999997</v>
      </c>
      <c r="AC16" s="2">
        <f t="shared" si="5"/>
        <v>27.854175302976561</v>
      </c>
      <c r="AD16" s="2">
        <f t="shared" si="6"/>
        <v>6.3287935822543065E-3</v>
      </c>
      <c r="AE16" s="57">
        <f t="shared" si="7"/>
        <v>0.17628332589646445</v>
      </c>
      <c r="AG16" s="89"/>
    </row>
    <row r="17" spans="1:33" x14ac:dyDescent="0.2">
      <c r="C17" s="2" t="s">
        <v>1</v>
      </c>
      <c r="D17" s="2" t="s">
        <v>3</v>
      </c>
      <c r="E17" s="2" t="s">
        <v>17</v>
      </c>
      <c r="F17" s="2" t="s">
        <v>52</v>
      </c>
      <c r="G17" s="2" t="s">
        <v>51</v>
      </c>
      <c r="I17" s="56">
        <f t="shared" si="14"/>
        <v>10</v>
      </c>
      <c r="J17" s="19">
        <f t="shared" si="9"/>
        <v>0.57562553230281832</v>
      </c>
      <c r="K17" s="19">
        <f t="shared" si="10"/>
        <v>0.16697149207313192</v>
      </c>
      <c r="L17" s="19">
        <f t="shared" si="11"/>
        <v>0.12415787974080503</v>
      </c>
      <c r="M17" s="19">
        <f t="shared" si="12"/>
        <v>9.3816211996504181E-2</v>
      </c>
      <c r="N17" s="85">
        <f t="shared" si="13"/>
        <v>3.942888388674004E-2</v>
      </c>
      <c r="O17" s="19"/>
      <c r="P17" s="64">
        <f t="shared" si="0"/>
        <v>0.74081822068171788</v>
      </c>
      <c r="Q17" s="12"/>
      <c r="R17" s="12">
        <v>1</v>
      </c>
      <c r="S17" s="12"/>
      <c r="T17" s="65">
        <f t="shared" si="1"/>
        <v>0.74081822068171788</v>
      </c>
      <c r="V17" s="55">
        <f t="shared" si="2"/>
        <v>371.617445161516</v>
      </c>
      <c r="W17" s="11"/>
      <c r="X17" s="76">
        <f t="shared" si="3"/>
        <v>0.61752736574117861</v>
      </c>
      <c r="Y17" s="77"/>
      <c r="Z17" s="76">
        <f t="shared" si="4"/>
        <v>3.0308338113887813E-2</v>
      </c>
      <c r="AB17" s="74">
        <v>59.196277100000003</v>
      </c>
      <c r="AC17" s="2">
        <f t="shared" si="5"/>
        <v>27.688901266736913</v>
      </c>
      <c r="AD17" s="2">
        <f t="shared" si="6"/>
        <v>6.8475621319077223E-3</v>
      </c>
      <c r="AE17" s="57">
        <f t="shared" si="7"/>
        <v>0.18960147178823944</v>
      </c>
      <c r="AG17" s="89"/>
    </row>
    <row r="18" spans="1:33" x14ac:dyDescent="0.2">
      <c r="A18" s="112" t="s">
        <v>100</v>
      </c>
      <c r="B18" s="2" t="s">
        <v>1</v>
      </c>
      <c r="C18" s="84" cm="1">
        <f t="array" ref="C18:G22">mP_TxB</f>
        <v>0.94626767564864811</v>
      </c>
      <c r="D18" s="84">
        <v>4.0528278579595498E-2</v>
      </c>
      <c r="E18" s="84">
        <v>2.7609199376632402E-3</v>
      </c>
      <c r="F18" s="84">
        <v>9.9485170055332601E-3</v>
      </c>
      <c r="G18" s="84">
        <v>4.9460882855984205E-4</v>
      </c>
      <c r="I18" s="56">
        <f t="shared" si="14"/>
        <v>11</v>
      </c>
      <c r="J18" s="19">
        <f t="shared" si="9"/>
        <v>0.54469583449620373</v>
      </c>
      <c r="K18" s="19">
        <f t="shared" si="10"/>
        <v>0.16704280699363455</v>
      </c>
      <c r="L18" s="19">
        <f t="shared" si="11"/>
        <v>0.13910874600810852</v>
      </c>
      <c r="M18" s="19">
        <f t="shared" si="12"/>
        <v>0.10240450903152112</v>
      </c>
      <c r="N18" s="85">
        <f t="shared" si="13"/>
        <v>4.6748103470531537E-2</v>
      </c>
      <c r="O18" s="19"/>
      <c r="P18" s="64">
        <f t="shared" si="0"/>
        <v>0.71892373343192617</v>
      </c>
      <c r="Q18" s="12"/>
      <c r="R18" s="12">
        <v>1</v>
      </c>
      <c r="S18" s="12"/>
      <c r="T18" s="65">
        <f t="shared" si="1"/>
        <v>0.71892373343192617</v>
      </c>
      <c r="V18" s="55">
        <f t="shared" si="2"/>
        <v>378.84741095130266</v>
      </c>
      <c r="W18" s="11"/>
      <c r="X18" s="76">
        <f t="shared" si="3"/>
        <v>0.58568811267184751</v>
      </c>
      <c r="Y18" s="77"/>
      <c r="Z18" s="76">
        <f t="shared" si="4"/>
        <v>3.1535423182320964E-2</v>
      </c>
      <c r="AB18" s="74">
        <v>58.207544407999997</v>
      </c>
      <c r="AC18" s="2">
        <f t="shared" si="5"/>
        <v>27.518968418129546</v>
      </c>
      <c r="AD18" s="2">
        <f t="shared" si="6"/>
        <v>7.3192195837914961E-3</v>
      </c>
      <c r="AE18" s="57">
        <f t="shared" si="7"/>
        <v>0.20141737257171347</v>
      </c>
      <c r="AG18" s="89"/>
    </row>
    <row r="19" spans="1:33" x14ac:dyDescent="0.2">
      <c r="A19" s="112"/>
      <c r="B19" s="2" t="s">
        <v>3</v>
      </c>
      <c r="C19" s="84">
        <v>0</v>
      </c>
      <c r="D19" s="84">
        <v>0.86070797642505803</v>
      </c>
      <c r="E19" s="84">
        <v>0.109179777520653</v>
      </c>
      <c r="F19" s="84">
        <v>9.8495952398212992E-3</v>
      </c>
      <c r="G19" s="84">
        <v>2.0262650814467702E-2</v>
      </c>
      <c r="I19" s="56">
        <f t="shared" si="14"/>
        <v>12</v>
      </c>
      <c r="J19" s="19">
        <f t="shared" si="9"/>
        <v>0.51542806124422347</v>
      </c>
      <c r="K19" s="19">
        <f t="shared" si="10"/>
        <v>0.16585066090546011</v>
      </c>
      <c r="L19" s="19">
        <f t="shared" si="11"/>
        <v>0.15339577215172664</v>
      </c>
      <c r="M19" s="19">
        <f t="shared" si="12"/>
        <v>0.11083236182790937</v>
      </c>
      <c r="N19" s="85">
        <f t="shared" si="13"/>
        <v>5.4493143870679883E-2</v>
      </c>
      <c r="O19" s="19"/>
      <c r="P19" s="64">
        <f t="shared" si="0"/>
        <v>0.69767632607103103</v>
      </c>
      <c r="Q19" s="12"/>
      <c r="R19" s="12">
        <v>1</v>
      </c>
      <c r="S19" s="12"/>
      <c r="T19" s="65">
        <f t="shared" si="1"/>
        <v>0.69767632607103103</v>
      </c>
      <c r="V19" s="55">
        <f t="shared" si="2"/>
        <v>383.6915706946827</v>
      </c>
      <c r="W19" s="11"/>
      <c r="X19" s="76">
        <f t="shared" si="3"/>
        <v>0.55514301091062579</v>
      </c>
      <c r="Y19" s="77"/>
      <c r="Z19" s="76">
        <f t="shared" si="4"/>
        <v>3.248541020532654E-2</v>
      </c>
      <c r="AB19" s="74">
        <v>57.218811715999998</v>
      </c>
      <c r="AC19" s="2">
        <f t="shared" si="5"/>
        <v>27.343919523710113</v>
      </c>
      <c r="AD19" s="2">
        <f t="shared" si="6"/>
        <v>7.7450404001483467E-3</v>
      </c>
      <c r="AE19" s="57">
        <f t="shared" si="7"/>
        <v>0.21177976140953997</v>
      </c>
      <c r="AG19" s="89"/>
    </row>
    <row r="20" spans="1:33" x14ac:dyDescent="0.2">
      <c r="A20" s="112"/>
      <c r="B20" s="2" t="s">
        <v>17</v>
      </c>
      <c r="C20" s="84">
        <v>0</v>
      </c>
      <c r="D20" s="84">
        <v>0</v>
      </c>
      <c r="E20" s="84">
        <v>0.96078943915232318</v>
      </c>
      <c r="F20" s="84">
        <v>9.8026402119192006E-3</v>
      </c>
      <c r="G20" s="84">
        <v>2.94079206357576E-2</v>
      </c>
      <c r="I20" s="56">
        <f t="shared" si="14"/>
        <v>13</v>
      </c>
      <c r="J20" s="19">
        <f t="shared" si="9"/>
        <v>0.4877329134776604</v>
      </c>
      <c r="K20" s="19">
        <f t="shared" si="10"/>
        <v>0.16363839879054376</v>
      </c>
      <c r="L20" s="19">
        <f t="shared" si="11"/>
        <v>0.16691163176402668</v>
      </c>
      <c r="M20" s="19">
        <f t="shared" si="12"/>
        <v>0.11909735210493511</v>
      </c>
      <c r="N20" s="85">
        <f t="shared" si="13"/>
        <v>6.2619703862833526E-2</v>
      </c>
      <c r="O20" s="19"/>
      <c r="P20" s="64">
        <f t="shared" si="0"/>
        <v>0.67705687449816465</v>
      </c>
      <c r="Q20" s="12"/>
      <c r="R20" s="12">
        <v>1</v>
      </c>
      <c r="S20" s="12"/>
      <c r="T20" s="65">
        <f t="shared" si="1"/>
        <v>0.67705687449816465</v>
      </c>
      <c r="V20" s="55">
        <f t="shared" si="2"/>
        <v>386.343276570451</v>
      </c>
      <c r="W20" s="11"/>
      <c r="X20" s="76">
        <f t="shared" si="3"/>
        <v>0.52588273385606021</v>
      </c>
      <c r="Y20" s="77"/>
      <c r="Z20" s="76">
        <f t="shared" si="4"/>
        <v>3.3180783552483009E-2</v>
      </c>
      <c r="AB20" s="74">
        <v>56.230079023999998</v>
      </c>
      <c r="AC20" s="2">
        <f t="shared" si="5"/>
        <v>27.163600558374192</v>
      </c>
      <c r="AD20" s="2">
        <f t="shared" si="6"/>
        <v>8.1265599921536424E-3</v>
      </c>
      <c r="AE20" s="57">
        <f t="shared" si="7"/>
        <v>0.22074662954052604</v>
      </c>
      <c r="AG20" s="89"/>
    </row>
    <row r="21" spans="1:33" x14ac:dyDescent="0.2">
      <c r="A21" s="112"/>
      <c r="B21" s="2" t="s">
        <v>52</v>
      </c>
      <c r="C21" s="84">
        <v>0</v>
      </c>
      <c r="D21" s="84">
        <v>0</v>
      </c>
      <c r="E21" s="84">
        <v>0</v>
      </c>
      <c r="F21" s="84">
        <v>1</v>
      </c>
      <c r="G21" s="84">
        <v>0</v>
      </c>
      <c r="I21" s="56">
        <f t="shared" si="14"/>
        <v>14</v>
      </c>
      <c r="J21" s="19">
        <f t="shared" si="9"/>
        <v>0.46152589037384889</v>
      </c>
      <c r="K21" s="19">
        <f t="shared" si="10"/>
        <v>0.16061185047830595</v>
      </c>
      <c r="L21" s="19">
        <f t="shared" si="11"/>
        <v>0.17957952856942078</v>
      </c>
      <c r="M21" s="19">
        <f t="shared" si="12"/>
        <v>0.12719751795597231</v>
      </c>
      <c r="N21" s="85">
        <f t="shared" si="13"/>
        <v>7.1085212622451488E-2</v>
      </c>
      <c r="O21" s="19"/>
      <c r="P21" s="64">
        <f t="shared" si="0"/>
        <v>0.65704681981505675</v>
      </c>
      <c r="Q21" s="12"/>
      <c r="R21" s="12">
        <v>1</v>
      </c>
      <c r="S21" s="12"/>
      <c r="T21" s="65">
        <f t="shared" si="1"/>
        <v>0.65704681981505675</v>
      </c>
      <c r="V21" s="55">
        <f t="shared" si="2"/>
        <v>387.00043966209989</v>
      </c>
      <c r="W21" s="11"/>
      <c r="X21" s="76">
        <f t="shared" si="3"/>
        <v>0.49789087535510324</v>
      </c>
      <c r="Y21" s="77"/>
      <c r="Z21" s="76">
        <f t="shared" si="4"/>
        <v>3.3644195971797339E-2</v>
      </c>
      <c r="AB21" s="74">
        <v>55.241346331999999</v>
      </c>
      <c r="AC21" s="2">
        <f t="shared" si="5"/>
        <v>26.977852859894536</v>
      </c>
      <c r="AD21" s="2">
        <f t="shared" si="6"/>
        <v>8.4655087596179623E-3</v>
      </c>
      <c r="AE21" s="57">
        <f t="shared" si="7"/>
        <v>0.2283812497011217</v>
      </c>
      <c r="AG21" s="89"/>
    </row>
    <row r="22" spans="1:33" x14ac:dyDescent="0.2">
      <c r="A22" s="112"/>
      <c r="B22" s="2" t="s">
        <v>51</v>
      </c>
      <c r="C22" s="84">
        <v>0</v>
      </c>
      <c r="D22" s="84">
        <v>0</v>
      </c>
      <c r="E22" s="84">
        <v>0</v>
      </c>
      <c r="F22" s="84">
        <v>0</v>
      </c>
      <c r="G22" s="84">
        <v>1</v>
      </c>
      <c r="I22" s="56">
        <f t="shared" si="14"/>
        <v>15</v>
      </c>
      <c r="J22" s="19">
        <f t="shared" si="9"/>
        <v>0.43672703153573478</v>
      </c>
      <c r="K22" s="19">
        <f t="shared" si="10"/>
        <v>0.15694475067183392</v>
      </c>
      <c r="L22" s="19">
        <f t="shared" si="11"/>
        <v>0.19134791667233514</v>
      </c>
      <c r="M22" s="19">
        <f t="shared" si="12"/>
        <v>0.13513133135077254</v>
      </c>
      <c r="N22" s="85">
        <f t="shared" si="13"/>
        <v>7.9848969769323042E-2</v>
      </c>
      <c r="O22" s="19"/>
      <c r="P22" s="64">
        <f t="shared" si="0"/>
        <v>0.63762815162177333</v>
      </c>
      <c r="Q22" s="12"/>
      <c r="R22" s="12">
        <v>1</v>
      </c>
      <c r="S22" s="12"/>
      <c r="T22" s="65">
        <f t="shared" si="1"/>
        <v>0.63762815162177333</v>
      </c>
      <c r="V22" s="55">
        <f t="shared" si="2"/>
        <v>385.860445608747</v>
      </c>
      <c r="W22" s="11"/>
      <c r="X22" s="76">
        <f t="shared" si="3"/>
        <v>0.47114527633470143</v>
      </c>
      <c r="Y22" s="77"/>
      <c r="Z22" s="76">
        <f t="shared" si="4"/>
        <v>3.389799064186217E-2</v>
      </c>
      <c r="AB22" s="74">
        <v>54.25261364</v>
      </c>
      <c r="AC22" s="2">
        <f t="shared" si="5"/>
        <v>26.786512989314577</v>
      </c>
      <c r="AD22" s="2">
        <f t="shared" si="6"/>
        <v>8.7637571468715536E-3</v>
      </c>
      <c r="AE22" s="57">
        <f t="shared" si="7"/>
        <v>0.23475049464987333</v>
      </c>
      <c r="AG22" s="89"/>
    </row>
    <row r="23" spans="1:33" x14ac:dyDescent="0.2">
      <c r="I23" s="56">
        <f t="shared" si="14"/>
        <v>16</v>
      </c>
      <c r="J23" s="19">
        <f t="shared" si="9"/>
        <v>0.41326067302425357</v>
      </c>
      <c r="K23" s="19">
        <f t="shared" si="10"/>
        <v>0.15278339355860948</v>
      </c>
      <c r="L23" s="19">
        <f t="shared" si="11"/>
        <v>0.20218601887264703</v>
      </c>
      <c r="M23" s="19">
        <f t="shared" si="12"/>
        <v>0.14289767470235329</v>
      </c>
      <c r="N23" s="85">
        <f t="shared" si="13"/>
        <v>8.8872239842136005E-2</v>
      </c>
      <c r="O23" s="19"/>
      <c r="P23" s="64">
        <f t="shared" si="0"/>
        <v>0.61878339180614084</v>
      </c>
      <c r="Q23" s="12"/>
      <c r="R23" s="12">
        <v>1</v>
      </c>
      <c r="S23" s="12"/>
      <c r="T23" s="65">
        <f t="shared" si="1"/>
        <v>0.61878339180614084</v>
      </c>
      <c r="V23" s="55">
        <f t="shared" si="2"/>
        <v>383.11635368854814</v>
      </c>
      <c r="W23" s="11"/>
      <c r="X23" s="76">
        <f t="shared" si="3"/>
        <v>0.44561915653503015</v>
      </c>
      <c r="Y23" s="77"/>
      <c r="Z23" s="76">
        <f t="shared" si="4"/>
        <v>3.3963847787358392E-2</v>
      </c>
      <c r="AB23" s="74">
        <v>53.265569534000001</v>
      </c>
      <c r="AC23" s="2">
        <f t="shared" si="5"/>
        <v>26.589754209190609</v>
      </c>
      <c r="AD23" s="2">
        <f t="shared" si="6"/>
        <v>9.0232700728129639E-3</v>
      </c>
      <c r="AE23" s="57">
        <f t="shared" si="7"/>
        <v>0.23992653339924216</v>
      </c>
      <c r="AG23" s="89"/>
    </row>
    <row r="24" spans="1:33" x14ac:dyDescent="0.2">
      <c r="I24" s="56">
        <f t="shared" si="14"/>
        <v>17</v>
      </c>
      <c r="J24" s="19">
        <f t="shared" si="9"/>
        <v>0.39105521649965641</v>
      </c>
      <c r="K24" s="19">
        <f t="shared" si="10"/>
        <v>0.1482506291835021</v>
      </c>
      <c r="L24" s="19">
        <f t="shared" si="11"/>
        <v>0.21208002822627572</v>
      </c>
      <c r="M24" s="19">
        <f t="shared" si="12"/>
        <v>0.15049581692046068</v>
      </c>
      <c r="N24" s="85">
        <f t="shared" si="13"/>
        <v>9.8118309170104473E-2</v>
      </c>
      <c r="O24" s="19"/>
      <c r="P24" s="64">
        <f t="shared" si="0"/>
        <v>0.6004955788122659</v>
      </c>
      <c r="Q24" s="12"/>
      <c r="R24" s="12">
        <v>1</v>
      </c>
      <c r="S24" s="12"/>
      <c r="T24" s="65">
        <f t="shared" si="1"/>
        <v>0.6004955788122659</v>
      </c>
      <c r="V24" s="55">
        <f t="shared" si="2"/>
        <v>378.95412527627553</v>
      </c>
      <c r="W24" s="11"/>
      <c r="X24" s="76">
        <f t="shared" si="3"/>
        <v>0.42128207903471271</v>
      </c>
      <c r="Y24" s="77"/>
      <c r="Z24" s="76">
        <f t="shared" si="4"/>
        <v>3.3862530982468643E-2</v>
      </c>
      <c r="AB24" s="74">
        <v>52.278525428000002</v>
      </c>
      <c r="AC24" s="2">
        <f t="shared" si="5"/>
        <v>26.387082021408954</v>
      </c>
      <c r="AD24" s="2">
        <f t="shared" si="6"/>
        <v>9.2460693279684675E-3</v>
      </c>
      <c r="AE24" s="57">
        <f t="shared" si="7"/>
        <v>0.24397678973273751</v>
      </c>
      <c r="AG24" s="89"/>
    </row>
    <row r="25" spans="1:33" x14ac:dyDescent="0.2">
      <c r="I25" s="56">
        <f t="shared" si="14"/>
        <v>18</v>
      </c>
      <c r="J25" s="19">
        <f t="shared" si="9"/>
        <v>0.37004291076740875</v>
      </c>
      <c r="K25" s="19">
        <f t="shared" si="10"/>
        <v>0.14344929380257587</v>
      </c>
      <c r="L25" s="19">
        <f t="shared" si="11"/>
        <v>0.22102989423044503</v>
      </c>
      <c r="M25" s="19">
        <f t="shared" si="12"/>
        <v>0.15792538929625219</v>
      </c>
      <c r="N25" s="85">
        <f t="shared" si="13"/>
        <v>0.10755251190331758</v>
      </c>
      <c r="O25" s="19"/>
      <c r="P25" s="64">
        <f t="shared" si="0"/>
        <v>0.58274825237398964</v>
      </c>
      <c r="Q25" s="12"/>
      <c r="R25" s="12">
        <v>1</v>
      </c>
      <c r="S25" s="12"/>
      <c r="T25" s="65">
        <f t="shared" si="1"/>
        <v>0.58274825237398964</v>
      </c>
      <c r="V25" s="55">
        <f t="shared" si="2"/>
        <v>373.55067337109705</v>
      </c>
      <c r="W25" s="11"/>
      <c r="X25" s="76">
        <f t="shared" si="3"/>
        <v>0.39810077122559867</v>
      </c>
      <c r="Y25" s="77"/>
      <c r="Z25" s="76">
        <f t="shared" si="4"/>
        <v>3.3613712761744678E-2</v>
      </c>
      <c r="AB25" s="74">
        <v>51.291481322000003</v>
      </c>
      <c r="AC25" s="2">
        <f t="shared" si="5"/>
        <v>26.178318703836414</v>
      </c>
      <c r="AD25" s="2">
        <f t="shared" si="6"/>
        <v>9.434202733213104E-3</v>
      </c>
      <c r="AE25" s="57">
        <f t="shared" si="7"/>
        <v>0.24697156586665722</v>
      </c>
      <c r="AG25" s="89"/>
    </row>
    <row r="26" spans="1:33" x14ac:dyDescent="0.2">
      <c r="I26" s="56">
        <f t="shared" si="14"/>
        <v>19</v>
      </c>
      <c r="J26" s="19">
        <f t="shared" si="9"/>
        <v>0.35015964506213598</v>
      </c>
      <c r="K26" s="19">
        <f t="shared" si="10"/>
        <v>0.13846515356240463</v>
      </c>
      <c r="L26" s="19">
        <f t="shared" si="11"/>
        <v>0.22904660894655529</v>
      </c>
      <c r="M26" s="19">
        <f t="shared" si="12"/>
        <v>0.16518636149741198</v>
      </c>
      <c r="N26" s="85">
        <f t="shared" si="13"/>
        <v>0.11714223093149152</v>
      </c>
      <c r="O26" s="19"/>
      <c r="P26" s="64">
        <f t="shared" si="0"/>
        <v>0.56552543869953709</v>
      </c>
      <c r="Q26" s="12"/>
      <c r="R26" s="12">
        <v>1</v>
      </c>
      <c r="S26" s="12"/>
      <c r="T26" s="65">
        <f t="shared" si="1"/>
        <v>0.56552543869953709</v>
      </c>
      <c r="V26" s="55">
        <f t="shared" si="2"/>
        <v>367.07256276055745</v>
      </c>
      <c r="W26" s="11"/>
      <c r="X26" s="76">
        <f t="shared" si="3"/>
        <v>0.376039822471681</v>
      </c>
      <c r="Y26" s="77"/>
      <c r="Z26" s="76">
        <f t="shared" si="4"/>
        <v>3.3235862877241326E-2</v>
      </c>
      <c r="AB26" s="74">
        <v>50.304437215999997</v>
      </c>
      <c r="AC26" s="2">
        <f t="shared" si="5"/>
        <v>25.963281193061409</v>
      </c>
      <c r="AD26" s="2">
        <f t="shared" si="6"/>
        <v>9.5897190281739458E-3</v>
      </c>
      <c r="AE26" s="57">
        <f t="shared" si="7"/>
        <v>0.24898057169093174</v>
      </c>
      <c r="AG26" s="89"/>
    </row>
    <row r="27" spans="1:33" x14ac:dyDescent="0.2">
      <c r="I27" s="56">
        <f t="shared" si="14"/>
        <v>20</v>
      </c>
      <c r="J27" s="19">
        <f t="shared" si="9"/>
        <v>0.33134475343890302</v>
      </c>
      <c r="K27" s="19">
        <f t="shared" si="10"/>
        <v>0.13336942977049274</v>
      </c>
      <c r="L27" s="19">
        <f t="shared" si="11"/>
        <v>0.23614992035522589</v>
      </c>
      <c r="M27" s="19">
        <f t="shared" si="12"/>
        <v>0.17227901789763675</v>
      </c>
      <c r="N27" s="85">
        <f t="shared" si="13"/>
        <v>0.126856878537741</v>
      </c>
      <c r="O27" s="19"/>
      <c r="P27" s="64">
        <f t="shared" si="0"/>
        <v>0.54881163609402639</v>
      </c>
      <c r="Q27" s="12"/>
      <c r="R27" s="12">
        <v>1</v>
      </c>
      <c r="S27" s="12"/>
      <c r="T27" s="65">
        <f t="shared" si="1"/>
        <v>0.54881163609402639</v>
      </c>
      <c r="V27" s="55">
        <f t="shared" si="2"/>
        <v>359.67522170141899</v>
      </c>
      <c r="W27" s="11"/>
      <c r="X27" s="76">
        <f t="shared" si="3"/>
        <v>0.35506227577828448</v>
      </c>
      <c r="Y27" s="77"/>
      <c r="Z27" s="76">
        <f t="shared" si="4"/>
        <v>3.2746185615142677E-2</v>
      </c>
      <c r="AB27" s="74">
        <v>49.317393109999998</v>
      </c>
      <c r="AC27" s="2">
        <f t="shared" si="5"/>
        <v>25.741780923866642</v>
      </c>
      <c r="AD27" s="2">
        <f t="shared" si="6"/>
        <v>9.7146476062494741E-3</v>
      </c>
      <c r="AE27" s="57">
        <f t="shared" si="7"/>
        <v>0.25007233043263943</v>
      </c>
      <c r="AG27" s="89"/>
    </row>
    <row r="28" spans="1:33" x14ac:dyDescent="0.2">
      <c r="I28" s="56">
        <f t="shared" si="14"/>
        <v>21</v>
      </c>
      <c r="J28" s="19">
        <f t="shared" si="9"/>
        <v>0.31354082967500518</v>
      </c>
      <c r="K28" s="19">
        <f t="shared" si="10"/>
        <v>0.12822096448798395</v>
      </c>
      <c r="L28" s="19">
        <f t="shared" si="11"/>
        <v>0.24236641054037161</v>
      </c>
      <c r="M28" s="19">
        <f t="shared" si="12"/>
        <v>0.17920393441783869</v>
      </c>
      <c r="N28" s="85">
        <f t="shared" si="13"/>
        <v>0.13666786087879998</v>
      </c>
      <c r="O28" s="19"/>
      <c r="P28" s="64">
        <f t="shared" si="0"/>
        <v>0.53259180100689718</v>
      </c>
      <c r="Q28" s="12"/>
      <c r="R28" s="12">
        <v>1</v>
      </c>
      <c r="S28" s="12"/>
      <c r="T28" s="65">
        <f t="shared" si="1"/>
        <v>0.53259180100689718</v>
      </c>
      <c r="V28" s="55">
        <f t="shared" si="2"/>
        <v>351.50255186491506</v>
      </c>
      <c r="W28" s="11"/>
      <c r="X28" s="76">
        <f t="shared" si="3"/>
        <v>0.33513012832374861</v>
      </c>
      <c r="Y28" s="77"/>
      <c r="Z28" s="76">
        <f t="shared" si="4"/>
        <v>3.2160595123694617E-2</v>
      </c>
      <c r="AB28" s="74">
        <v>48.340578602000001</v>
      </c>
      <c r="AC28" s="2">
        <f t="shared" si="5"/>
        <v>25.516023070275882</v>
      </c>
      <c r="AD28" s="2">
        <f t="shared" si="6"/>
        <v>9.8109823410589825E-3</v>
      </c>
      <c r="AE28" s="57">
        <f t="shared" si="7"/>
        <v>0.25033725175653027</v>
      </c>
      <c r="AG28" s="89"/>
    </row>
    <row r="29" spans="1:33" x14ac:dyDescent="0.2">
      <c r="I29" s="56">
        <f t="shared" si="14"/>
        <v>22</v>
      </c>
      <c r="J29" s="19">
        <f t="shared" si="9"/>
        <v>0.2966935521175158</v>
      </c>
      <c r="K29" s="19">
        <f t="shared" si="10"/>
        <v>0.12306807697086801</v>
      </c>
      <c r="L29" s="19">
        <f t="shared" si="11"/>
        <v>0.24772788515664818</v>
      </c>
      <c r="M29" s="19">
        <f t="shared" si="12"/>
        <v>0.1859619560172372</v>
      </c>
      <c r="N29" s="85">
        <f t="shared" si="13"/>
        <v>0.14654852973773019</v>
      </c>
      <c r="O29" s="19"/>
      <c r="P29" s="64">
        <f t="shared" si="0"/>
        <v>0.51685133449169929</v>
      </c>
      <c r="Q29" s="12"/>
      <c r="R29" s="12">
        <v>1</v>
      </c>
      <c r="S29" s="12"/>
      <c r="T29" s="65">
        <f t="shared" si="1"/>
        <v>0.51685133449169929</v>
      </c>
      <c r="V29" s="55">
        <f t="shared" si="2"/>
        <v>342.68684463581343</v>
      </c>
      <c r="W29" s="11"/>
      <c r="X29" s="76">
        <f t="shared" si="3"/>
        <v>0.31620475359917088</v>
      </c>
      <c r="Y29" s="77"/>
      <c r="Z29" s="76">
        <f t="shared" si="4"/>
        <v>3.1493719797853106E-2</v>
      </c>
      <c r="AB29" s="74">
        <v>47.363764093999997</v>
      </c>
      <c r="AC29" s="2">
        <f t="shared" si="5"/>
        <v>25.283551621664117</v>
      </c>
      <c r="AD29" s="2">
        <f t="shared" si="6"/>
        <v>9.8806688589302138E-3</v>
      </c>
      <c r="AE29" s="57">
        <f t="shared" si="7"/>
        <v>0.24981840115133114</v>
      </c>
      <c r="AG29" s="89"/>
    </row>
    <row r="30" spans="1:33" x14ac:dyDescent="0.2">
      <c r="I30" s="56">
        <f t="shared" si="14"/>
        <v>23</v>
      </c>
      <c r="J30" s="19">
        <f t="shared" si="9"/>
        <v>0.28075151794218273</v>
      </c>
      <c r="K30" s="19">
        <f t="shared" si="10"/>
        <v>0.11795015442510751</v>
      </c>
      <c r="L30" s="19">
        <f t="shared" si="11"/>
        <v>0.25227002824903844</v>
      </c>
      <c r="M30" s="19">
        <f t="shared" si="12"/>
        <v>0.19255417493966687</v>
      </c>
      <c r="N30" s="85">
        <f t="shared" si="13"/>
        <v>0.15647412444400383</v>
      </c>
      <c r="O30" s="19"/>
      <c r="P30" s="64">
        <f t="shared" si="0"/>
        <v>0.50157606906605556</v>
      </c>
      <c r="Q30" s="12"/>
      <c r="R30" s="12">
        <v>1</v>
      </c>
      <c r="S30" s="12"/>
      <c r="T30" s="65">
        <f t="shared" si="1"/>
        <v>0.50157606906605556</v>
      </c>
      <c r="V30" s="55">
        <f t="shared" si="2"/>
        <v>333.34892944001587</v>
      </c>
      <c r="W30" s="11"/>
      <c r="X30" s="76">
        <f t="shared" si="3"/>
        <v>0.29824725610580227</v>
      </c>
      <c r="Y30" s="77"/>
      <c r="Z30" s="76">
        <f t="shared" si="4"/>
        <v>3.0758928490306772E-2</v>
      </c>
      <c r="AB30" s="74">
        <v>46.386949586</v>
      </c>
      <c r="AC30" s="2">
        <f t="shared" si="5"/>
        <v>25.044166928905561</v>
      </c>
      <c r="AD30" s="2">
        <f t="shared" si="6"/>
        <v>9.9255947062736327E-3</v>
      </c>
      <c r="AE30" s="57">
        <f t="shared" si="7"/>
        <v>0.24857825069257822</v>
      </c>
      <c r="AG30" s="89"/>
    </row>
    <row r="31" spans="1:33" x14ac:dyDescent="0.2">
      <c r="I31" s="56">
        <f t="shared" si="14"/>
        <v>24</v>
      </c>
      <c r="J31" s="19">
        <f t="shared" si="9"/>
        <v>0.265666086317979</v>
      </c>
      <c r="K31" s="19">
        <f t="shared" si="10"/>
        <v>0.11289901446506247</v>
      </c>
      <c r="L31" s="19">
        <f t="shared" si="11"/>
        <v>0.25603128303841005</v>
      </c>
      <c r="M31" s="19">
        <f t="shared" si="12"/>
        <v>0.19898190979298169</v>
      </c>
      <c r="N31" s="85">
        <f t="shared" si="13"/>
        <v>0.16642170638556616</v>
      </c>
      <c r="O31" s="19"/>
      <c r="P31" s="64">
        <f t="shared" si="0"/>
        <v>0.48675225595997168</v>
      </c>
      <c r="Q31" s="12"/>
      <c r="R31" s="12">
        <v>1</v>
      </c>
      <c r="S31" s="12"/>
      <c r="T31" s="65">
        <f t="shared" si="1"/>
        <v>0.48675225595997168</v>
      </c>
      <c r="V31" s="55">
        <f t="shared" si="2"/>
        <v>323.59849424417075</v>
      </c>
      <c r="W31" s="11"/>
      <c r="X31" s="76">
        <f t="shared" si="3"/>
        <v>0.28121876802675083</v>
      </c>
      <c r="Y31" s="77"/>
      <c r="Z31" s="76">
        <f t="shared" si="4"/>
        <v>2.9968372736419294E-2</v>
      </c>
      <c r="AB31" s="74">
        <v>45.410135078000003</v>
      </c>
      <c r="AC31" s="2">
        <f t="shared" si="5"/>
        <v>24.797663405701709</v>
      </c>
      <c r="AD31" s="2">
        <f t="shared" si="6"/>
        <v>9.947581941562339E-3</v>
      </c>
      <c r="AE31" s="57">
        <f t="shared" si="7"/>
        <v>0.24667678868749957</v>
      </c>
      <c r="AG31" s="89"/>
    </row>
    <row r="32" spans="1:33" x14ac:dyDescent="0.2">
      <c r="I32" s="56">
        <f t="shared" si="14"/>
        <v>25</v>
      </c>
      <c r="J32" s="19">
        <f t="shared" si="9"/>
        <v>0.2513912299987871</v>
      </c>
      <c r="K32" s="19">
        <f t="shared" si="10"/>
        <v>0.10794007143605318</v>
      </c>
      <c r="L32" s="19">
        <f t="shared" si="11"/>
        <v>0.25905192491199647</v>
      </c>
      <c r="M32" s="19">
        <f t="shared" si="12"/>
        <v>0.20524668551658676</v>
      </c>
      <c r="N32" s="85">
        <f t="shared" si="13"/>
        <v>0.17637008813657584</v>
      </c>
      <c r="O32" s="19"/>
      <c r="P32" s="64">
        <f t="shared" si="0"/>
        <v>0.47236655274101469</v>
      </c>
      <c r="Q32" s="12"/>
      <c r="R32" s="12">
        <v>1</v>
      </c>
      <c r="S32" s="12"/>
      <c r="T32" s="65">
        <f t="shared" si="1"/>
        <v>0.47236655274101469</v>
      </c>
      <c r="V32" s="55">
        <f t="shared" si="2"/>
        <v>313.53453025565284</v>
      </c>
      <c r="W32" s="11"/>
      <c r="X32" s="76">
        <f t="shared" si="3"/>
        <v>0.26508069597965772</v>
      </c>
      <c r="Y32" s="77"/>
      <c r="Z32" s="76">
        <f t="shared" si="4"/>
        <v>2.9133040344586872E-2</v>
      </c>
      <c r="AB32" s="74">
        <v>44.433320569999999</v>
      </c>
      <c r="AC32" s="2">
        <f t="shared" si="5"/>
        <v>24.543829352021412</v>
      </c>
      <c r="AD32" s="2">
        <f t="shared" si="6"/>
        <v>9.9483817510096773E-3</v>
      </c>
      <c r="AE32" s="57">
        <f t="shared" si="7"/>
        <v>0.24417138402554547</v>
      </c>
      <c r="AG32" s="89"/>
    </row>
    <row r="33" spans="9:33" x14ac:dyDescent="0.2">
      <c r="I33" s="56">
        <f t="shared" si="14"/>
        <v>26</v>
      </c>
      <c r="J33" s="19">
        <f t="shared" si="9"/>
        <v>0.23788339488940696</v>
      </c>
      <c r="K33" s="19">
        <f t="shared" si="10"/>
        <v>0.10309333426275955</v>
      </c>
      <c r="L33" s="19">
        <f t="shared" si="11"/>
        <v>0.26137329769153583</v>
      </c>
      <c r="M33" s="19">
        <f t="shared" si="12"/>
        <v>0.21135021427319153</v>
      </c>
      <c r="N33" s="85">
        <f t="shared" si="13"/>
        <v>0.18629975888310543</v>
      </c>
      <c r="O33" s="19"/>
      <c r="P33" s="64">
        <f t="shared" si="0"/>
        <v>0.45840601130522352</v>
      </c>
      <c r="Q33" s="12"/>
      <c r="R33" s="12">
        <v>1</v>
      </c>
      <c r="S33" s="12"/>
      <c r="T33" s="65">
        <f t="shared" si="1"/>
        <v>0.45840601130522352</v>
      </c>
      <c r="V33" s="55">
        <f t="shared" si="2"/>
        <v>303.24586259553689</v>
      </c>
      <c r="W33" s="11"/>
      <c r="X33" s="76">
        <f t="shared" si="3"/>
        <v>0.24979492483614454</v>
      </c>
      <c r="Y33" s="77"/>
      <c r="Z33" s="76">
        <f t="shared" si="4"/>
        <v>2.8262816657137386E-2</v>
      </c>
      <c r="AB33" s="74">
        <v>43.473604029999997</v>
      </c>
      <c r="AC33" s="2">
        <f t="shared" si="5"/>
        <v>24.287088134884517</v>
      </c>
      <c r="AD33" s="2">
        <f t="shared" si="6"/>
        <v>9.9296707465295897E-3</v>
      </c>
      <c r="AE33" s="57">
        <f t="shared" si="7"/>
        <v>0.24116278857134868</v>
      </c>
      <c r="AG33" s="89"/>
    </row>
    <row r="34" spans="9:33" x14ac:dyDescent="0.2">
      <c r="I34" s="56">
        <f t="shared" si="14"/>
        <v>27</v>
      </c>
      <c r="J34" s="19">
        <f t="shared" si="9"/>
        <v>0.22510136715740861</v>
      </c>
      <c r="K34" s="19">
        <f t="shared" si="10"/>
        <v>9.8374259613749682E-2</v>
      </c>
      <c r="L34" s="19">
        <f t="shared" si="11"/>
        <v>0.26303718840490348</v>
      </c>
      <c r="M34" s="19">
        <f t="shared" si="12"/>
        <v>0.21729437728526754</v>
      </c>
      <c r="N34" s="85">
        <f t="shared" si="13"/>
        <v>0.19619280753866994</v>
      </c>
      <c r="O34" s="19"/>
      <c r="P34" s="64">
        <f t="shared" si="0"/>
        <v>0.44485806622294116</v>
      </c>
      <c r="Q34" s="12"/>
      <c r="R34" s="12">
        <v>1</v>
      </c>
      <c r="S34" s="12"/>
      <c r="T34" s="65">
        <f t="shared" si="1"/>
        <v>0.44485806622294116</v>
      </c>
      <c r="V34" s="55">
        <f t="shared" si="2"/>
        <v>292.81173668960361</v>
      </c>
      <c r="W34" s="11"/>
      <c r="X34" s="76">
        <f t="shared" si="3"/>
        <v>0.23532398463359686</v>
      </c>
      <c r="Y34" s="77"/>
      <c r="Z34" s="76">
        <f t="shared" si="4"/>
        <v>2.7366550566490479E-2</v>
      </c>
      <c r="AB34" s="74">
        <v>42.513887490000002</v>
      </c>
      <c r="AC34" s="2">
        <f t="shared" si="5"/>
        <v>24.022847512466388</v>
      </c>
      <c r="AD34" s="2">
        <f t="shared" si="6"/>
        <v>9.893048655564507E-3</v>
      </c>
      <c r="AE34" s="57">
        <f t="shared" si="7"/>
        <v>0.23765919928603677</v>
      </c>
      <c r="AG34" s="89"/>
    </row>
    <row r="35" spans="9:33" x14ac:dyDescent="0.2">
      <c r="I35" s="56">
        <f t="shared" si="14"/>
        <v>28</v>
      </c>
      <c r="J35" s="19">
        <f t="shared" si="9"/>
        <v>0.21300614748537397</v>
      </c>
      <c r="K35" s="19">
        <f t="shared" si="10"/>
        <v>9.3794480841267069E-2</v>
      </c>
      <c r="L35" s="19">
        <f t="shared" si="11"/>
        <v>0.26408531935471946</v>
      </c>
      <c r="M35" s="19">
        <f t="shared" si="12"/>
        <v>0.22308120762390241</v>
      </c>
      <c r="N35" s="85">
        <f t="shared" si="13"/>
        <v>0.20603284469473632</v>
      </c>
      <c r="O35" s="19"/>
      <c r="P35" s="64">
        <f t="shared" si="0"/>
        <v>0.43171052342907973</v>
      </c>
      <c r="Q35" s="12"/>
      <c r="R35" s="12">
        <v>1</v>
      </c>
      <c r="S35" s="12"/>
      <c r="T35" s="65">
        <f t="shared" si="1"/>
        <v>0.43171052342907973</v>
      </c>
      <c r="V35" s="55">
        <f t="shared" si="2"/>
        <v>282.30243662954382</v>
      </c>
      <c r="W35" s="11"/>
      <c r="X35" s="76">
        <f t="shared" si="3"/>
        <v>0.22163118578117694</v>
      </c>
      <c r="Y35" s="77"/>
      <c r="Z35" s="76">
        <f t="shared" si="4"/>
        <v>2.6452123007013835E-2</v>
      </c>
      <c r="AB35" s="74">
        <v>41.55417095</v>
      </c>
      <c r="AC35" s="2">
        <f t="shared" si="5"/>
        <v>23.75088842730441</v>
      </c>
      <c r="AD35" s="2">
        <f t="shared" si="6"/>
        <v>9.840037156066378E-3</v>
      </c>
      <c r="AE35" s="57">
        <f t="shared" si="7"/>
        <v>0.23370962461426234</v>
      </c>
      <c r="AG35" s="89"/>
    </row>
    <row r="36" spans="9:33" x14ac:dyDescent="0.2">
      <c r="I36" s="56">
        <f t="shared" si="14"/>
        <v>29</v>
      </c>
      <c r="J36" s="19">
        <f t="shared" si="9"/>
        <v>0.20156083207985795</v>
      </c>
      <c r="K36" s="19">
        <f t="shared" si="10"/>
        <v>8.9362430289179492E-2</v>
      </c>
      <c r="L36" s="19">
        <f t="shared" si="11"/>
        <v>0.26455893934153496</v>
      </c>
      <c r="M36" s="19">
        <f t="shared" si="12"/>
        <v>0.22871287394734352</v>
      </c>
      <c r="N36" s="85">
        <f t="shared" si="13"/>
        <v>0.21580492434208326</v>
      </c>
      <c r="O36" s="19"/>
      <c r="P36" s="64">
        <f t="shared" si="0"/>
        <v>0.418951549247639</v>
      </c>
      <c r="Q36" s="12"/>
      <c r="R36" s="12">
        <v>1</v>
      </c>
      <c r="S36" s="12"/>
      <c r="T36" s="65">
        <f t="shared" si="1"/>
        <v>0.418951549247639</v>
      </c>
      <c r="V36" s="55">
        <f t="shared" si="2"/>
        <v>271.77991705320727</v>
      </c>
      <c r="W36" s="11"/>
      <c r="X36" s="76">
        <f t="shared" si="3"/>
        <v>0.20868072705453489</v>
      </c>
      <c r="Y36" s="77"/>
      <c r="Z36" s="76">
        <f t="shared" si="4"/>
        <v>2.5526516159914265E-2</v>
      </c>
      <c r="AB36" s="74">
        <v>40.594454409999997</v>
      </c>
      <c r="AC36" s="2">
        <f t="shared" si="5"/>
        <v>23.470985423272339</v>
      </c>
      <c r="AD36" s="2">
        <f t="shared" si="6"/>
        <v>9.7720796473469429E-3</v>
      </c>
      <c r="AE36" s="57">
        <f t="shared" si="7"/>
        <v>0.22936033895793639</v>
      </c>
      <c r="AG36" s="89"/>
    </row>
    <row r="37" spans="9:33" x14ac:dyDescent="0.2">
      <c r="I37" s="56">
        <f t="shared" si="14"/>
        <v>30</v>
      </c>
      <c r="J37" s="19">
        <f t="shared" si="9"/>
        <v>0.19073050007401465</v>
      </c>
      <c r="K37" s="19">
        <f t="shared" si="10"/>
        <v>8.508387009589255E-2</v>
      </c>
      <c r="L37" s="19">
        <f t="shared" si="11"/>
        <v>0.2644984985303056</v>
      </c>
      <c r="M37" s="19">
        <f t="shared" si="12"/>
        <v>0.2341916651781466</v>
      </c>
      <c r="N37" s="85">
        <f t="shared" si="13"/>
        <v>0.22549546612163976</v>
      </c>
      <c r="O37" s="19"/>
      <c r="P37" s="64">
        <f t="shared" si="0"/>
        <v>0.40656965974059917</v>
      </c>
      <c r="Q37" s="12"/>
      <c r="R37" s="12">
        <v>1</v>
      </c>
      <c r="S37" s="12"/>
      <c r="T37" s="65">
        <f t="shared" si="1"/>
        <v>0.40656965974059917</v>
      </c>
      <c r="V37" s="55">
        <f t="shared" si="2"/>
        <v>261.29843439061881</v>
      </c>
      <c r="W37" s="11"/>
      <c r="X37" s="76">
        <f t="shared" si="3"/>
        <v>0.19643778026532438</v>
      </c>
      <c r="Y37" s="77"/>
      <c r="Z37" s="76">
        <f t="shared" si="4"/>
        <v>2.4595882027409775E-2</v>
      </c>
      <c r="AB37" s="74">
        <v>39.634737870000002</v>
      </c>
      <c r="AC37" s="2">
        <f t="shared" si="5"/>
        <v>23.182906458675454</v>
      </c>
      <c r="AD37" s="2">
        <f t="shared" si="6"/>
        <v>9.6905417795564996E-3</v>
      </c>
      <c r="AE37" s="57">
        <f t="shared" si="7"/>
        <v>0.22465492360934469</v>
      </c>
      <c r="AG37" s="89"/>
    </row>
    <row r="38" spans="9:33" x14ac:dyDescent="0.2">
      <c r="I38" s="56">
        <f t="shared" si="14"/>
        <v>31</v>
      </c>
      <c r="J38" s="19">
        <f t="shared" si="9"/>
        <v>0.18048210698034214</v>
      </c>
      <c r="K38" s="19">
        <f t="shared" si="10"/>
        <v>8.0962344497273409E-2</v>
      </c>
      <c r="L38" s="19">
        <f t="shared" si="11"/>
        <v>0.26394339370760439</v>
      </c>
      <c r="M38" s="19">
        <f t="shared" si="12"/>
        <v>0.23951997610117431</v>
      </c>
      <c r="N38" s="85">
        <f t="shared" si="13"/>
        <v>0.23509217871360488</v>
      </c>
      <c r="O38" s="19"/>
      <c r="P38" s="64">
        <f t="shared" si="0"/>
        <v>0.39455371037160114</v>
      </c>
      <c r="Q38" s="12"/>
      <c r="R38" s="12">
        <v>1</v>
      </c>
      <c r="S38" s="12"/>
      <c r="T38" s="65">
        <f t="shared" si="1"/>
        <v>0.39455371037160114</v>
      </c>
      <c r="V38" s="55">
        <f t="shared" si="2"/>
        <v>250.90516679731505</v>
      </c>
      <c r="W38" s="11"/>
      <c r="X38" s="76">
        <f t="shared" si="3"/>
        <v>0.18486855496779822</v>
      </c>
      <c r="Y38" s="77"/>
      <c r="Z38" s="76">
        <f t="shared" si="4"/>
        <v>2.3665609370620979E-2</v>
      </c>
      <c r="AB38" s="74">
        <v>38.690766486000001</v>
      </c>
      <c r="AC38" s="2">
        <f t="shared" si="5"/>
        <v>22.89134620046298</v>
      </c>
      <c r="AD38" s="2">
        <f t="shared" si="6"/>
        <v>9.5967125919651231E-3</v>
      </c>
      <c r="AE38" s="57">
        <f t="shared" si="7"/>
        <v>0.21968167032901606</v>
      </c>
      <c r="AG38" s="89"/>
    </row>
    <row r="39" spans="9:33" x14ac:dyDescent="0.2">
      <c r="I39" s="56">
        <f t="shared" si="14"/>
        <v>32</v>
      </c>
      <c r="J39" s="19">
        <f t="shared" si="9"/>
        <v>0.17078438386845901</v>
      </c>
      <c r="K39" s="19">
        <f t="shared" si="10"/>
        <v>7.699956480920829E-2</v>
      </c>
      <c r="L39" s="19">
        <f t="shared" si="11"/>
        <v>0.2629317726156063</v>
      </c>
      <c r="M39" s="19">
        <f t="shared" si="12"/>
        <v>0.24470029385945641</v>
      </c>
      <c r="N39" s="85">
        <f t="shared" si="13"/>
        <v>0.24458398484726909</v>
      </c>
      <c r="O39" s="19"/>
      <c r="P39" s="64">
        <f t="shared" ref="P39:P66" si="15">EXP(-r_Delta_t * I39)</f>
        <v>0.38289288597511206</v>
      </c>
      <c r="Q39" s="12"/>
      <c r="R39" s="12">
        <v>1</v>
      </c>
      <c r="S39" s="12"/>
      <c r="T39" s="65">
        <f t="shared" si="1"/>
        <v>0.38289288597511206</v>
      </c>
      <c r="V39" s="55">
        <f t="shared" si="2"/>
        <v>240.64081489413962</v>
      </c>
      <c r="W39" s="11"/>
      <c r="X39" s="76">
        <f t="shared" si="3"/>
        <v>0.17394034611314296</v>
      </c>
      <c r="Y39" s="77"/>
      <c r="Z39" s="76">
        <f t="shared" si="4"/>
        <v>2.2740388277430971E-2</v>
      </c>
      <c r="AB39" s="74">
        <v>37.746795102</v>
      </c>
      <c r="AC39" s="2">
        <f t="shared" si="5"/>
        <v>22.591411182723778</v>
      </c>
      <c r="AD39" s="2">
        <f t="shared" si="6"/>
        <v>9.4918061336642101E-3</v>
      </c>
      <c r="AE39" s="57">
        <f t="shared" si="7"/>
        <v>0.21443329523230778</v>
      </c>
      <c r="AG39" s="89"/>
    </row>
    <row r="40" spans="9:33" x14ac:dyDescent="0.2">
      <c r="I40" s="56">
        <f t="shared" si="14"/>
        <v>33</v>
      </c>
      <c r="J40" s="19">
        <f t="shared" si="9"/>
        <v>0.16160774196029318</v>
      </c>
      <c r="K40" s="19">
        <f t="shared" si="10"/>
        <v>7.3195736699009251E-2</v>
      </c>
      <c r="L40" s="19">
        <f t="shared" si="11"/>
        <v>0.26150038771219497</v>
      </c>
      <c r="M40" s="19">
        <f t="shared" si="12"/>
        <v>0.24973518532089731</v>
      </c>
      <c r="N40" s="85">
        <f t="shared" si="13"/>
        <v>0.25396094830760435</v>
      </c>
      <c r="O40" s="19"/>
      <c r="P40" s="64">
        <f t="shared" si="15"/>
        <v>0.37157669102204571</v>
      </c>
      <c r="Q40" s="12"/>
      <c r="R40" s="12">
        <v>1</v>
      </c>
      <c r="S40" s="12"/>
      <c r="T40" s="65">
        <f t="shared" si="1"/>
        <v>0.37157669102204571</v>
      </c>
      <c r="V40" s="55">
        <f t="shared" si="2"/>
        <v>230.5401776738702</v>
      </c>
      <c r="W40" s="11"/>
      <c r="X40" s="76">
        <f t="shared" si="3"/>
        <v>0.16362156717237572</v>
      </c>
      <c r="Y40" s="77"/>
      <c r="Z40" s="76">
        <f t="shared" si="4"/>
        <v>2.1824271843875143E-2</v>
      </c>
      <c r="AB40" s="74">
        <v>36.802823717999999</v>
      </c>
      <c r="AC40" s="2">
        <f t="shared" si="5"/>
        <v>22.282860849362983</v>
      </c>
      <c r="AD40" s="2">
        <f t="shared" ref="AD40:AD66" si="16">N40-N39</f>
        <v>9.3769634603352581E-3</v>
      </c>
      <c r="AE40" s="57">
        <f t="shared" si="7"/>
        <v>0.20894557197621177</v>
      </c>
      <c r="AG40" s="89"/>
    </row>
    <row r="41" spans="9:33" x14ac:dyDescent="0.2">
      <c r="I41" s="56">
        <f t="shared" si="14"/>
        <v>34</v>
      </c>
      <c r="J41" s="19">
        <f t="shared" si="9"/>
        <v>0.15292418235159314</v>
      </c>
      <c r="K41" s="19">
        <f t="shared" si="10"/>
        <v>6.954983800393176E-2</v>
      </c>
      <c r="L41" s="19">
        <f t="shared" si="11"/>
        <v>0.25968449113323189</v>
      </c>
      <c r="M41" s="19">
        <f t="shared" si="12"/>
        <v>0.25462728528580092</v>
      </c>
      <c r="N41" s="85">
        <f t="shared" si="13"/>
        <v>0.26321420322544137</v>
      </c>
      <c r="O41" s="19"/>
      <c r="P41" s="64">
        <f t="shared" si="15"/>
        <v>0.3605949401730783</v>
      </c>
      <c r="Q41" s="12"/>
      <c r="R41" s="12">
        <v>1</v>
      </c>
      <c r="S41" s="12"/>
      <c r="T41" s="65">
        <f t="shared" si="1"/>
        <v>0.3605949401730783</v>
      </c>
      <c r="V41" s="55">
        <f t="shared" si="2"/>
        <v>220.63269972011656</v>
      </c>
      <c r="W41" s="11"/>
      <c r="X41" s="76">
        <f t="shared" si="3"/>
        <v>0.15388177091171218</v>
      </c>
      <c r="Y41" s="77"/>
      <c r="Z41" s="76">
        <f t="shared" si="4"/>
        <v>2.0920734625279568E-2</v>
      </c>
      <c r="AB41" s="74">
        <v>35.858852333999998</v>
      </c>
      <c r="AC41" s="2">
        <f t="shared" si="5"/>
        <v>21.965447734566784</v>
      </c>
      <c r="AD41" s="2">
        <f t="shared" si="16"/>
        <v>9.2532549178370171E-3</v>
      </c>
      <c r="AE41" s="57">
        <f t="shared" si="7"/>
        <v>0.20325188727237206</v>
      </c>
      <c r="AG41" s="89"/>
    </row>
    <row r="42" spans="9:33" x14ac:dyDescent="0.2">
      <c r="I42" s="56">
        <f t="shared" si="14"/>
        <v>35</v>
      </c>
      <c r="J42" s="19">
        <f t="shared" si="9"/>
        <v>0.14470721058431205</v>
      </c>
      <c r="K42" s="19">
        <f t="shared" si="10"/>
        <v>6.6059854192956929E-2</v>
      </c>
      <c r="L42" s="19">
        <f t="shared" si="11"/>
        <v>0.25751776385632641</v>
      </c>
      <c r="M42" s="19">
        <f t="shared" si="12"/>
        <v>0.25937928550301126</v>
      </c>
      <c r="N42" s="85">
        <f t="shared" si="13"/>
        <v>0.27233588586339241</v>
      </c>
      <c r="O42" s="19"/>
      <c r="P42" s="64">
        <f t="shared" si="15"/>
        <v>0.34993774911115533</v>
      </c>
      <c r="Q42" s="12"/>
      <c r="R42" s="12">
        <v>1</v>
      </c>
      <c r="S42" s="12"/>
      <c r="T42" s="65">
        <f t="shared" si="1"/>
        <v>0.34993774911115533</v>
      </c>
      <c r="V42" s="55">
        <f t="shared" si="2"/>
        <v>210.94298729574047</v>
      </c>
      <c r="W42" s="11"/>
      <c r="X42" s="76">
        <f t="shared" si="3"/>
        <v>0.14469165971279457</v>
      </c>
      <c r="Y42" s="77"/>
      <c r="Z42" s="76">
        <f t="shared" si="4"/>
        <v>2.0032727649513565E-2</v>
      </c>
      <c r="AB42" s="74">
        <v>34.914880949999997</v>
      </c>
      <c r="AC42" s="2">
        <f t="shared" si="5"/>
        <v>21.638917264328018</v>
      </c>
      <c r="AD42" s="2">
        <f t="shared" si="16"/>
        <v>9.1216826379510452E-3</v>
      </c>
      <c r="AE42" s="57">
        <f t="shared" si="7"/>
        <v>0.19738333591408</v>
      </c>
      <c r="AG42" s="89"/>
    </row>
    <row r="43" spans="9:33" x14ac:dyDescent="0.2">
      <c r="I43" s="56">
        <f t="shared" si="14"/>
        <v>36</v>
      </c>
      <c r="J43" s="19">
        <f t="shared" si="9"/>
        <v>0.1369317558092164</v>
      </c>
      <c r="K43" s="19">
        <f t="shared" si="10"/>
        <v>6.2722977568391527E-2</v>
      </c>
      <c r="L43" s="19">
        <f t="shared" si="11"/>
        <v>0.25503227311393994</v>
      </c>
      <c r="M43" s="19">
        <f t="shared" si="12"/>
        <v>0.26399392446099634</v>
      </c>
      <c r="N43" s="85">
        <f t="shared" si="13"/>
        <v>0.28131906904745485</v>
      </c>
      <c r="O43" s="19"/>
      <c r="P43" s="64">
        <f t="shared" si="15"/>
        <v>0.33959552564493911</v>
      </c>
      <c r="Q43" s="12"/>
      <c r="R43" s="12">
        <v>1</v>
      </c>
      <c r="S43" s="12"/>
      <c r="T43" s="65">
        <f t="shared" si="1"/>
        <v>0.33959552564493911</v>
      </c>
      <c r="V43" s="55">
        <f t="shared" si="2"/>
        <v>201.49129196518513</v>
      </c>
      <c r="W43" s="11"/>
      <c r="X43" s="76">
        <f t="shared" si="3"/>
        <v>0.13602308707764293</v>
      </c>
      <c r="Y43" s="77"/>
      <c r="Z43" s="76">
        <f t="shared" si="4"/>
        <v>1.9162729891095152E-2</v>
      </c>
      <c r="AB43" s="74">
        <v>33.982592404000002</v>
      </c>
      <c r="AC43" s="2">
        <f t="shared" si="5"/>
        <v>21.307223263871222</v>
      </c>
      <c r="AD43" s="2">
        <f t="shared" si="16"/>
        <v>8.9831831840624377E-3</v>
      </c>
      <c r="AE43" s="57">
        <f t="shared" si="7"/>
        <v>0.19140668972307193</v>
      </c>
      <c r="AG43" s="89"/>
    </row>
    <row r="44" spans="9:33" x14ac:dyDescent="0.2">
      <c r="I44" s="56">
        <f t="shared" si="14"/>
        <v>37</v>
      </c>
      <c r="J44" s="19">
        <f t="shared" si="9"/>
        <v>0.12957409429207548</v>
      </c>
      <c r="K44" s="19">
        <f t="shared" si="10"/>
        <v>5.9535775444073645E-2</v>
      </c>
      <c r="L44" s="19">
        <f t="shared" si="11"/>
        <v>0.25225845300194727</v>
      </c>
      <c r="M44" s="19">
        <f t="shared" si="12"/>
        <v>0.26847397791931077</v>
      </c>
      <c r="N44" s="85">
        <f t="shared" si="13"/>
        <v>0.29015769934259189</v>
      </c>
      <c r="O44" s="19"/>
      <c r="P44" s="64">
        <f t="shared" si="15"/>
        <v>0.32955896107518912</v>
      </c>
      <c r="Q44" s="12"/>
      <c r="R44" s="12">
        <v>1</v>
      </c>
      <c r="S44" s="12"/>
      <c r="T44" s="65">
        <f t="shared" si="1"/>
        <v>0.32955896107518912</v>
      </c>
      <c r="V44" s="55">
        <f t="shared" si="2"/>
        <v>192.29396127424025</v>
      </c>
      <c r="W44" s="11"/>
      <c r="X44" s="76">
        <f t="shared" si="3"/>
        <v>0.12784905173920685</v>
      </c>
      <c r="Y44" s="77"/>
      <c r="Z44" s="76">
        <f t="shared" si="4"/>
        <v>1.8312796187048414E-2</v>
      </c>
      <c r="AB44" s="74">
        <v>33.050303857999999</v>
      </c>
      <c r="AC44" s="2">
        <f t="shared" si="5"/>
        <v>20.966121276791593</v>
      </c>
      <c r="AD44" s="2">
        <f t="shared" si="16"/>
        <v>8.8386302951370399E-3</v>
      </c>
      <c r="AE44" s="57">
        <f t="shared" si="7"/>
        <v>0.18531179468856745</v>
      </c>
      <c r="AG44" s="89"/>
    </row>
    <row r="45" spans="9:33" x14ac:dyDescent="0.2">
      <c r="I45" s="56">
        <f t="shared" si="14"/>
        <v>38</v>
      </c>
      <c r="J45" s="19">
        <f t="shared" si="9"/>
        <v>0.12261177703004102</v>
      </c>
      <c r="K45" s="19">
        <f t="shared" si="10"/>
        <v>5.6494331797533298E-2</v>
      </c>
      <c r="L45" s="19">
        <f t="shared" si="11"/>
        <v>0.24922510399901274</v>
      </c>
      <c r="M45" s="19">
        <f t="shared" si="12"/>
        <v>0.27282225014545847</v>
      </c>
      <c r="N45" s="85">
        <f t="shared" si="13"/>
        <v>0.2988465370279535</v>
      </c>
      <c r="O45" s="19"/>
      <c r="P45" s="64">
        <f t="shared" si="15"/>
        <v>0.31981902181630395</v>
      </c>
      <c r="Q45" s="12"/>
      <c r="R45" s="12">
        <v>1</v>
      </c>
      <c r="S45" s="12"/>
      <c r="T45" s="65">
        <f t="shared" si="1"/>
        <v>0.31981902181630395</v>
      </c>
      <c r="V45" s="55">
        <f t="shared" si="2"/>
        <v>183.36385666865053</v>
      </c>
      <c r="W45" s="11"/>
      <c r="X45" s="76">
        <f t="shared" si="3"/>
        <v>0.12014368560830137</v>
      </c>
      <c r="Y45" s="77"/>
      <c r="Z45" s="76">
        <f t="shared" si="4"/>
        <v>1.7484601637949147E-2</v>
      </c>
      <c r="AB45" s="74">
        <v>32.118015311999997</v>
      </c>
      <c r="AC45" s="2">
        <f t="shared" si="5"/>
        <v>20.615344460118877</v>
      </c>
      <c r="AD45" s="2">
        <f t="shared" si="16"/>
        <v>8.6888376853616056E-3</v>
      </c>
      <c r="AE45" s="57">
        <f t="shared" si="7"/>
        <v>0.1791233818417915</v>
      </c>
      <c r="AG45" s="89"/>
    </row>
    <row r="46" spans="9:33" x14ac:dyDescent="0.2">
      <c r="I46" s="56">
        <f t="shared" si="14"/>
        <v>39</v>
      </c>
      <c r="J46" s="19">
        <f t="shared" si="9"/>
        <v>0.11602356125736722</v>
      </c>
      <c r="K46" s="19">
        <f t="shared" si="10"/>
        <v>5.3594366257553448E-2</v>
      </c>
      <c r="L46" s="19">
        <f t="shared" si="11"/>
        <v>0.24595940777051808</v>
      </c>
      <c r="M46" s="19">
        <f t="shared" si="12"/>
        <v>0.27704156582215084</v>
      </c>
      <c r="N46" s="85">
        <f t="shared" si="13"/>
        <v>0.30738109889240944</v>
      </c>
      <c r="O46" s="19"/>
      <c r="P46" s="64">
        <f t="shared" si="15"/>
        <v>0.31036694126548503</v>
      </c>
      <c r="Q46" s="12"/>
      <c r="R46" s="12">
        <v>1</v>
      </c>
      <c r="S46" s="12"/>
      <c r="T46" s="65">
        <f t="shared" si="1"/>
        <v>0.31036694126548503</v>
      </c>
      <c r="V46" s="55">
        <f t="shared" si="2"/>
        <v>174.71073932815739</v>
      </c>
      <c r="W46" s="11"/>
      <c r="X46" s="76">
        <f t="shared" si="3"/>
        <v>0.11288223662254043</v>
      </c>
      <c r="Y46" s="77"/>
      <c r="Z46" s="76">
        <f t="shared" si="4"/>
        <v>1.6679482584288946E-2</v>
      </c>
      <c r="AB46" s="74">
        <v>31.185726765999998</v>
      </c>
      <c r="AC46" s="2">
        <f t="shared" si="5"/>
        <v>20.25461840229525</v>
      </c>
      <c r="AD46" s="2">
        <f t="shared" si="16"/>
        <v>8.5345618644559473E-3</v>
      </c>
      <c r="AE46" s="57">
        <f t="shared" si="7"/>
        <v>0.17286429379533669</v>
      </c>
      <c r="AG46" s="89"/>
    </row>
    <row r="47" spans="9:33" x14ac:dyDescent="0.2">
      <c r="I47" s="56">
        <f t="shared" si="14"/>
        <v>40</v>
      </c>
      <c r="J47" s="19">
        <f t="shared" si="9"/>
        <v>0.10978934563148743</v>
      </c>
      <c r="K47" s="19">
        <f t="shared" si="10"/>
        <v>5.0831333741757578E-2</v>
      </c>
      <c r="L47" s="19">
        <f t="shared" si="11"/>
        <v>0.24248695419394786</v>
      </c>
      <c r="M47" s="19">
        <f t="shared" si="12"/>
        <v>0.28113476259024506</v>
      </c>
      <c r="N47" s="85">
        <f t="shared" si="13"/>
        <v>0.31575760384256113</v>
      </c>
      <c r="O47" s="19"/>
      <c r="P47" s="64">
        <f t="shared" si="15"/>
        <v>0.30119421191220214</v>
      </c>
      <c r="Q47" s="12"/>
      <c r="R47" s="12">
        <v>1</v>
      </c>
      <c r="S47" s="12"/>
      <c r="T47" s="65">
        <f t="shared" si="1"/>
        <v>0.30119421191220214</v>
      </c>
      <c r="V47" s="55">
        <f t="shared" si="2"/>
        <v>166.34162495674241</v>
      </c>
      <c r="W47" s="11"/>
      <c r="X47" s="76">
        <f t="shared" si="3"/>
        <v>0.10604104741923639</v>
      </c>
      <c r="Y47" s="77"/>
      <c r="Z47" s="76">
        <f t="shared" si="4"/>
        <v>1.5898474282247294E-2</v>
      </c>
      <c r="AB47" s="74">
        <v>30.25343822</v>
      </c>
      <c r="AC47" s="2">
        <f t="shared" si="5"/>
        <v>19.883660908504019</v>
      </c>
      <c r="AD47" s="2">
        <f t="shared" si="16"/>
        <v>8.3765049501516864E-3</v>
      </c>
      <c r="AE47" s="57">
        <f t="shared" si="7"/>
        <v>0.16655558402722151</v>
      </c>
      <c r="AG47" s="89"/>
    </row>
    <row r="48" spans="9:33" x14ac:dyDescent="0.2">
      <c r="I48" s="56">
        <f t="shared" si="14"/>
        <v>41</v>
      </c>
      <c r="J48" s="19">
        <f t="shared" si="9"/>
        <v>0.10389010890169367</v>
      </c>
      <c r="K48" s="19">
        <f t="shared" si="10"/>
        <v>4.8200507588679359E-2</v>
      </c>
      <c r="L48" s="19">
        <f t="shared" si="11"/>
        <v>0.23883177802405839</v>
      </c>
      <c r="M48" s="19">
        <f t="shared" si="12"/>
        <v>0.28510468419319024</v>
      </c>
      <c r="N48" s="85">
        <f t="shared" si="13"/>
        <v>0.32397292129237737</v>
      </c>
      <c r="O48" s="19"/>
      <c r="P48" s="64">
        <f t="shared" si="15"/>
        <v>0.29229257768085942</v>
      </c>
      <c r="Q48" s="12"/>
      <c r="R48" s="12">
        <v>1</v>
      </c>
      <c r="S48" s="12"/>
      <c r="T48" s="65">
        <f t="shared" si="1"/>
        <v>0.29229257768085942</v>
      </c>
      <c r="V48" s="55">
        <f t="shared" si="2"/>
        <v>158.26110882909384</v>
      </c>
      <c r="W48" s="11"/>
      <c r="X48" s="76">
        <f t="shared" si="3"/>
        <v>9.9597530629215003E-2</v>
      </c>
      <c r="Y48" s="77"/>
      <c r="Z48" s="76">
        <f t="shared" si="4"/>
        <v>1.5142345426739751E-2</v>
      </c>
      <c r="AB48" s="74">
        <v>29.338929644</v>
      </c>
      <c r="AC48" s="2">
        <f t="shared" si="5"/>
        <v>19.509557336467644</v>
      </c>
      <c r="AD48" s="2">
        <f t="shared" si="16"/>
        <v>8.2153174498162396E-3</v>
      </c>
      <c r="AE48" s="57">
        <f t="shared" si="7"/>
        <v>0.16027720682447308</v>
      </c>
      <c r="AG48" s="89"/>
    </row>
    <row r="49" spans="9:33" x14ac:dyDescent="0.2">
      <c r="I49" s="56">
        <f t="shared" si="14"/>
        <v>42</v>
      </c>
      <c r="J49" s="19">
        <f t="shared" si="9"/>
        <v>9.8307851873290594E-2</v>
      </c>
      <c r="K49" s="19">
        <f t="shared" si="10"/>
        <v>4.5697048624545218E-2</v>
      </c>
      <c r="L49" s="19">
        <f t="shared" si="11"/>
        <v>0.23501640302739446</v>
      </c>
      <c r="M49" s="19">
        <f t="shared" si="12"/>
        <v>0.28895417418955066</v>
      </c>
      <c r="N49" s="85">
        <f t="shared" si="13"/>
        <v>0.33202452228521806</v>
      </c>
      <c r="O49" s="19"/>
      <c r="P49" s="64">
        <f t="shared" si="15"/>
        <v>0.2836540264997704</v>
      </c>
      <c r="Q49" s="12"/>
      <c r="R49" s="12">
        <v>1</v>
      </c>
      <c r="S49" s="12"/>
      <c r="T49" s="65">
        <f t="shared" si="1"/>
        <v>0.2836540264997704</v>
      </c>
      <c r="V49" s="55">
        <f t="shared" si="2"/>
        <v>150.47166256899484</v>
      </c>
      <c r="W49" s="11"/>
      <c r="X49" s="76">
        <f t="shared" si="3"/>
        <v>9.3530141479605131E-2</v>
      </c>
      <c r="Y49" s="77"/>
      <c r="Z49" s="76">
        <f t="shared" si="4"/>
        <v>1.4411629685300307E-2</v>
      </c>
      <c r="AB49" s="74">
        <v>28.424421068000001</v>
      </c>
      <c r="AC49" s="2">
        <f t="shared" si="5"/>
        <v>19.125048047608598</v>
      </c>
      <c r="AD49" s="2">
        <f t="shared" si="16"/>
        <v>8.0516009928406906E-3</v>
      </c>
      <c r="AE49" s="57">
        <f t="shared" si="7"/>
        <v>0.15398725584825129</v>
      </c>
      <c r="AG49" s="89"/>
    </row>
    <row r="50" spans="9:33" x14ac:dyDescent="0.2">
      <c r="I50" s="56">
        <f t="shared" si="14"/>
        <v>43</v>
      </c>
      <c r="J50" s="19">
        <f t="shared" si="9"/>
        <v>9.3025542490150284E-2</v>
      </c>
      <c r="K50" s="19">
        <f t="shared" si="10"/>
        <v>4.3316062257512125E-2</v>
      </c>
      <c r="L50" s="19">
        <f t="shared" si="11"/>
        <v>0.23106189176673078</v>
      </c>
      <c r="M50" s="19">
        <f t="shared" si="12"/>
        <v>0.29268607020107268</v>
      </c>
      <c r="N50" s="85">
        <f t="shared" si="13"/>
        <v>0.33991043328453308</v>
      </c>
      <c r="O50" s="19"/>
      <c r="P50" s="64">
        <f t="shared" si="15"/>
        <v>0.27527078308975234</v>
      </c>
      <c r="Q50" s="12"/>
      <c r="R50" s="12">
        <v>1</v>
      </c>
      <c r="S50" s="12"/>
      <c r="T50" s="65">
        <f t="shared" si="1"/>
        <v>0.27527078308975234</v>
      </c>
      <c r="V50" s="55">
        <f t="shared" si="2"/>
        <v>142.9739042449369</v>
      </c>
      <c r="W50" s="11"/>
      <c r="X50" s="76">
        <f t="shared" si="3"/>
        <v>8.78183482987651E-2</v>
      </c>
      <c r="Y50" s="77"/>
      <c r="Z50" s="76">
        <f t="shared" si="4"/>
        <v>1.3706654415667974E-2</v>
      </c>
      <c r="AB50" s="74">
        <v>27.509912492000002</v>
      </c>
      <c r="AC50" s="2">
        <f t="shared" si="5"/>
        <v>18.729843606191203</v>
      </c>
      <c r="AD50" s="2">
        <f t="shared" si="16"/>
        <v>7.8859109993150156E-3</v>
      </c>
      <c r="AE50" s="57">
        <f t="shared" si="7"/>
        <v>0.14770187970951323</v>
      </c>
      <c r="AG50" s="89"/>
    </row>
    <row r="51" spans="9:33" x14ac:dyDescent="0.2">
      <c r="I51" s="56">
        <f t="shared" si="14"/>
        <v>44</v>
      </c>
      <c r="J51" s="19">
        <f t="shared" si="9"/>
        <v>8.8027063868109059E-2</v>
      </c>
      <c r="K51" s="19">
        <f t="shared" si="10"/>
        <v>4.1052645393423896E-2</v>
      </c>
      <c r="L51" s="19">
        <f t="shared" si="11"/>
        <v>0.226987899515351</v>
      </c>
      <c r="M51" s="19">
        <f t="shared" si="12"/>
        <v>0.29630319866477894</v>
      </c>
      <c r="N51" s="85">
        <f t="shared" si="13"/>
        <v>0.34762919255833602</v>
      </c>
      <c r="O51" s="19"/>
      <c r="P51" s="64">
        <f t="shared" si="15"/>
        <v>0.26713530196585039</v>
      </c>
      <c r="Q51" s="12"/>
      <c r="R51" s="12">
        <v>1</v>
      </c>
      <c r="S51" s="12"/>
      <c r="T51" s="65">
        <f t="shared" si="1"/>
        <v>0.26713530196585039</v>
      </c>
      <c r="V51" s="55">
        <f t="shared" si="2"/>
        <v>135.76684342606023</v>
      </c>
      <c r="W51" s="11"/>
      <c r="X51" s="76">
        <f t="shared" si="3"/>
        <v>8.2442601433762239E-2</v>
      </c>
      <c r="Y51" s="77"/>
      <c r="Z51" s="76">
        <f t="shared" si="4"/>
        <v>1.3027566744278124E-2</v>
      </c>
      <c r="AB51" s="74">
        <v>26.595403915999999</v>
      </c>
      <c r="AC51" s="2">
        <f t="shared" si="5"/>
        <v>18.323646525804701</v>
      </c>
      <c r="AD51" s="2">
        <f t="shared" si="16"/>
        <v>7.7187592738029442E-3</v>
      </c>
      <c r="AE51" s="57">
        <f t="shared" si="7"/>
        <v>0.14143581655094214</v>
      </c>
      <c r="AG51" s="89"/>
    </row>
    <row r="52" spans="9:33" x14ac:dyDescent="0.2">
      <c r="I52" s="56">
        <f t="shared" si="14"/>
        <v>45</v>
      </c>
      <c r="J52" s="19">
        <f t="shared" si="9"/>
        <v>8.3297165120650649E-2</v>
      </c>
      <c r="K52" s="19">
        <f t="shared" si="10"/>
        <v>3.8901924710459931E-2</v>
      </c>
      <c r="L52" s="19">
        <f t="shared" si="11"/>
        <v>0.22281273103609367</v>
      </c>
      <c r="M52" s="19">
        <f t="shared" si="12"/>
        <v>0.29980837005867539</v>
      </c>
      <c r="N52" s="85">
        <f t="shared" si="13"/>
        <v>0.35517980907411928</v>
      </c>
      <c r="O52" s="19"/>
      <c r="P52" s="64">
        <f t="shared" si="15"/>
        <v>0.25924026064589156</v>
      </c>
      <c r="Q52" s="12"/>
      <c r="R52" s="12">
        <v>1</v>
      </c>
      <c r="S52" s="12"/>
      <c r="T52" s="65">
        <f t="shared" si="1"/>
        <v>0.25924026064589156</v>
      </c>
      <c r="V52" s="55">
        <f t="shared" si="2"/>
        <v>128.84810285914739</v>
      </c>
      <c r="W52" s="11"/>
      <c r="X52" s="76">
        <f t="shared" si="3"/>
        <v>7.7384301018645393E-2</v>
      </c>
      <c r="Y52" s="77"/>
      <c r="Z52" s="76">
        <f t="shared" si="4"/>
        <v>1.2374357183342595E-2</v>
      </c>
      <c r="AB52" s="74">
        <v>25.680895339999999</v>
      </c>
      <c r="AC52" s="2">
        <f t="shared" si="5"/>
        <v>17.906151045433177</v>
      </c>
      <c r="AD52" s="2">
        <f t="shared" si="16"/>
        <v>7.5506165157832594E-3</v>
      </c>
      <c r="AE52" s="57">
        <f t="shared" si="7"/>
        <v>0.13520247981775743</v>
      </c>
      <c r="AG52" s="89"/>
    </row>
    <row r="53" spans="9:33" x14ac:dyDescent="0.2">
      <c r="I53" s="56">
        <f t="shared" si="14"/>
        <v>46</v>
      </c>
      <c r="J53" s="19">
        <f t="shared" si="9"/>
        <v>7.8821414826839728E-2</v>
      </c>
      <c r="K53" s="19">
        <f t="shared" si="10"/>
        <v>3.6859087609480222E-2</v>
      </c>
      <c r="L53" s="19">
        <f t="shared" si="11"/>
        <v>0.2185533991771115</v>
      </c>
      <c r="M53" s="19">
        <f t="shared" si="12"/>
        <v>0.30320437457182087</v>
      </c>
      <c r="N53" s="85">
        <f t="shared" si="13"/>
        <v>0.36256172381474655</v>
      </c>
      <c r="O53" s="19"/>
      <c r="P53" s="64">
        <f t="shared" si="15"/>
        <v>0.25157855305975652</v>
      </c>
      <c r="Q53" s="12"/>
      <c r="R53" s="12">
        <v>1</v>
      </c>
      <c r="S53" s="12"/>
      <c r="T53" s="65">
        <f t="shared" si="1"/>
        <v>0.25157855305975652</v>
      </c>
      <c r="V53" s="55">
        <f t="shared" si="2"/>
        <v>122.2141184142729</v>
      </c>
      <c r="W53" s="11"/>
      <c r="X53" s="76">
        <f t="shared" si="3"/>
        <v>7.26257639687755E-2</v>
      </c>
      <c r="Y53" s="77"/>
      <c r="Z53" s="76">
        <f t="shared" si="4"/>
        <v>1.1746880961759841E-2</v>
      </c>
      <c r="AB53" s="74">
        <v>24.802356295999999</v>
      </c>
      <c r="AC53" s="2">
        <f t="shared" si="5"/>
        <v>17.494143971259124</v>
      </c>
      <c r="AD53" s="2">
        <f t="shared" si="16"/>
        <v>7.3819147406272712E-3</v>
      </c>
      <c r="AE53" s="57">
        <f t="shared" si="7"/>
        <v>0.12914027925609345</v>
      </c>
      <c r="AG53" s="89"/>
    </row>
    <row r="54" spans="9:33" x14ac:dyDescent="0.2">
      <c r="I54" s="56">
        <f t="shared" si="14"/>
        <v>47</v>
      </c>
      <c r="J54" s="19">
        <f t="shared" si="9"/>
        <v>7.4586156999531514E-2</v>
      </c>
      <c r="K54" s="19">
        <f t="shared" si="10"/>
        <v>3.4919406967369671E-2</v>
      </c>
      <c r="L54" s="19">
        <f t="shared" si="11"/>
        <v>0.2142256844207383</v>
      </c>
      <c r="M54" s="19">
        <f t="shared" si="12"/>
        <v>0.30649397819071356</v>
      </c>
      <c r="N54" s="85">
        <f t="shared" si="13"/>
        <v>0.36977477342164577</v>
      </c>
      <c r="O54" s="19"/>
      <c r="P54" s="64">
        <f t="shared" si="15"/>
        <v>0.24414328315343711</v>
      </c>
      <c r="Q54" s="12"/>
      <c r="R54" s="12">
        <v>1</v>
      </c>
      <c r="S54" s="12"/>
      <c r="T54" s="65">
        <f t="shared" si="1"/>
        <v>0.24414328315343711</v>
      </c>
      <c r="V54" s="55">
        <f t="shared" si="2"/>
        <v>115.86031891047648</v>
      </c>
      <c r="W54" s="11"/>
      <c r="X54" s="76">
        <f t="shared" si="3"/>
        <v>6.8150190521525683E-2</v>
      </c>
      <c r="Y54" s="77"/>
      <c r="Z54" s="76">
        <f t="shared" si="4"/>
        <v>1.1144877240470337E-2</v>
      </c>
      <c r="AB54" s="74">
        <v>23.923817251999999</v>
      </c>
      <c r="AC54" s="2">
        <f t="shared" si="5"/>
        <v>17.071133602640145</v>
      </c>
      <c r="AD54" s="2">
        <f t="shared" si="16"/>
        <v>7.2130496068992245E-3</v>
      </c>
      <c r="AE54" s="57">
        <f t="shared" si="7"/>
        <v>0.12313493352184764</v>
      </c>
      <c r="AG54" s="89"/>
    </row>
    <row r="55" spans="9:33" x14ac:dyDescent="0.2">
      <c r="I55" s="56">
        <f t="shared" si="14"/>
        <v>48</v>
      </c>
      <c r="J55" s="19">
        <f t="shared" si="9"/>
        <v>7.0578469419511833E-2</v>
      </c>
      <c r="K55" s="19">
        <f t="shared" si="10"/>
        <v>3.3078260657906283E-2</v>
      </c>
      <c r="L55" s="19">
        <f t="shared" si="11"/>
        <v>0.20984419467840798</v>
      </c>
      <c r="M55" s="19">
        <f t="shared" si="12"/>
        <v>0.30967991917517262</v>
      </c>
      <c r="N55" s="85">
        <f t="shared" si="13"/>
        <v>0.37681915606900013</v>
      </c>
      <c r="O55" s="19"/>
      <c r="P55" s="64">
        <f t="shared" si="15"/>
        <v>0.23692775868212176</v>
      </c>
      <c r="Q55" s="12"/>
      <c r="R55" s="12">
        <v>1</v>
      </c>
      <c r="S55" s="12"/>
      <c r="T55" s="65">
        <f t="shared" si="1"/>
        <v>0.23692775868212176</v>
      </c>
      <c r="V55" s="55">
        <f t="shared" si="2"/>
        <v>109.78128737961772</v>
      </c>
      <c r="W55" s="11"/>
      <c r="X55" s="76">
        <f t="shared" si="3"/>
        <v>6.3941630595709328E-2</v>
      </c>
      <c r="Y55" s="77"/>
      <c r="Z55" s="76">
        <f t="shared" si="4"/>
        <v>1.0567986376660661E-2</v>
      </c>
      <c r="AB55" s="74">
        <v>23.045278207999999</v>
      </c>
      <c r="AC55" s="2">
        <f t="shared" si="5"/>
        <v>16.636826079358205</v>
      </c>
      <c r="AD55" s="2">
        <f t="shared" si="16"/>
        <v>7.0443826473543525E-3</v>
      </c>
      <c r="AE55" s="57">
        <f t="shared" si="7"/>
        <v>0.11719616894048328</v>
      </c>
      <c r="AG55" s="89"/>
    </row>
    <row r="56" spans="9:33" x14ac:dyDescent="0.2">
      <c r="I56" s="56">
        <f t="shared" si="14"/>
        <v>49</v>
      </c>
      <c r="J56" s="19">
        <f t="shared" si="9"/>
        <v>6.6786124208440656E-2</v>
      </c>
      <c r="K56" s="19">
        <f t="shared" si="10"/>
        <v>3.1331146664882563E-2</v>
      </c>
      <c r="L56" s="19">
        <f t="shared" si="11"/>
        <v>0.20542242475722897</v>
      </c>
      <c r="M56" s="19">
        <f t="shared" si="12"/>
        <v>0.31276490489812719</v>
      </c>
      <c r="N56" s="85">
        <f t="shared" si="13"/>
        <v>0.38369539947131948</v>
      </c>
      <c r="O56" s="19"/>
      <c r="P56" s="64">
        <f t="shared" si="15"/>
        <v>0.22992548518672384</v>
      </c>
      <c r="Q56" s="12"/>
      <c r="R56" s="12">
        <v>1</v>
      </c>
      <c r="S56" s="12"/>
      <c r="T56" s="65">
        <f t="shared" si="1"/>
        <v>0.22992548518672384</v>
      </c>
      <c r="V56" s="55">
        <f t="shared" si="2"/>
        <v>103.97090526131278</v>
      </c>
      <c r="W56" s="11"/>
      <c r="X56" s="76">
        <f t="shared" si="3"/>
        <v>5.9984950200258381E-2</v>
      </c>
      <c r="Y56" s="77"/>
      <c r="Z56" s="76">
        <f t="shared" si="4"/>
        <v>1.001576539390024E-2</v>
      </c>
      <c r="AB56" s="74">
        <v>22.166739163999999</v>
      </c>
      <c r="AC56" s="2">
        <f t="shared" si="5"/>
        <v>16.190919693197753</v>
      </c>
      <c r="AD56" s="2">
        <f t="shared" si="16"/>
        <v>6.8762434023193486E-3</v>
      </c>
      <c r="AE56" s="57">
        <f t="shared" si="7"/>
        <v>0.11133270471783346</v>
      </c>
      <c r="AG56" s="89"/>
    </row>
    <row r="57" spans="9:33" x14ac:dyDescent="0.2">
      <c r="I57" s="56">
        <f t="shared" si="14"/>
        <v>50</v>
      </c>
      <c r="J57" s="19">
        <f t="shared" si="9"/>
        <v>6.3197550520303042E-2</v>
      </c>
      <c r="K57" s="19">
        <f t="shared" si="10"/>
        <v>2.9673694492178927E-2</v>
      </c>
      <c r="L57" s="19">
        <f t="shared" si="11"/>
        <v>0.20097281503603351</v>
      </c>
      <c r="M57" s="19">
        <f t="shared" si="12"/>
        <v>0.31575160902495225</v>
      </c>
      <c r="N57" s="85">
        <f t="shared" si="13"/>
        <v>0.39040433092653115</v>
      </c>
      <c r="O57" s="19"/>
      <c r="P57" s="64">
        <f t="shared" si="15"/>
        <v>0.22313016014842982</v>
      </c>
      <c r="Q57" s="12"/>
      <c r="R57" s="12">
        <v>1</v>
      </c>
      <c r="S57" s="12"/>
      <c r="T57" s="65">
        <f t="shared" si="1"/>
        <v>0.22313016014842982</v>
      </c>
      <c r="V57" s="55">
        <f t="shared" si="2"/>
        <v>98.422480948464866</v>
      </c>
      <c r="W57" s="11"/>
      <c r="X57" s="76">
        <f t="shared" si="3"/>
        <v>5.6265798086184128E-2</v>
      </c>
      <c r="Y57" s="77"/>
      <c r="Z57" s="76">
        <f t="shared" si="4"/>
        <v>9.4877018072469285E-3</v>
      </c>
      <c r="AB57" s="74">
        <v>21.288200119999999</v>
      </c>
      <c r="AC57" s="2">
        <f t="shared" si="5"/>
        <v>15.733104678352621</v>
      </c>
      <c r="AD57" s="2">
        <f t="shared" si="16"/>
        <v>6.7089314552116752E-3</v>
      </c>
      <c r="AE57" s="57">
        <f t="shared" si="7"/>
        <v>0.10555232086473787</v>
      </c>
      <c r="AG57" s="89"/>
    </row>
    <row r="58" spans="9:33" x14ac:dyDescent="0.2">
      <c r="I58" s="56">
        <f t="shared" si="14"/>
        <v>51</v>
      </c>
      <c r="J58" s="19">
        <f t="shared" si="9"/>
        <v>5.9801799237535175E-2</v>
      </c>
      <c r="K58" s="19">
        <f t="shared" si="10"/>
        <v>2.8101673472453615E-2</v>
      </c>
      <c r="L58" s="19">
        <f t="shared" si="11"/>
        <v>0.1965068089834491</v>
      </c>
      <c r="M58" s="19">
        <f t="shared" si="12"/>
        <v>0.31864266900920446</v>
      </c>
      <c r="N58" s="85">
        <f t="shared" si="13"/>
        <v>0.39694704929735652</v>
      </c>
      <c r="O58" s="19"/>
      <c r="P58" s="64">
        <f t="shared" si="15"/>
        <v>0.21653566731600707</v>
      </c>
      <c r="Q58" s="12"/>
      <c r="R58" s="12">
        <v>1</v>
      </c>
      <c r="S58" s="12"/>
      <c r="T58" s="65">
        <f t="shared" si="1"/>
        <v>0.21653566731600707</v>
      </c>
      <c r="V58" s="55">
        <f t="shared" si="2"/>
        <v>93.128864024484486</v>
      </c>
      <c r="W58" s="11"/>
      <c r="X58" s="76">
        <f t="shared" si="3"/>
        <v>5.277057280404536E-2</v>
      </c>
      <c r="Y58" s="77"/>
      <c r="Z58" s="76">
        <f t="shared" si="4"/>
        <v>8.9832259438813941E-3</v>
      </c>
      <c r="AB58" s="74">
        <v>20.451263034</v>
      </c>
      <c r="AC58" s="2">
        <f t="shared" si="5"/>
        <v>15.285601687333003</v>
      </c>
      <c r="AD58" s="2">
        <f t="shared" si="16"/>
        <v>6.5427183708253733E-3</v>
      </c>
      <c r="AE58" s="57">
        <f t="shared" si="7"/>
        <v>0.10000938696883296</v>
      </c>
      <c r="AG58" s="89"/>
    </row>
    <row r="59" spans="9:33" x14ac:dyDescent="0.2">
      <c r="I59" s="56">
        <f t="shared" si="14"/>
        <v>52</v>
      </c>
      <c r="J59" s="19">
        <f t="shared" si="9"/>
        <v>5.6588509564109504E-2</v>
      </c>
      <c r="K59" s="19">
        <f t="shared" si="10"/>
        <v>2.6610998487693154E-2</v>
      </c>
      <c r="L59" s="19">
        <f t="shared" si="11"/>
        <v>0.19203490923032432</v>
      </c>
      <c r="M59" s="19">
        <f t="shared" si="12"/>
        <v>0.32144068388280295</v>
      </c>
      <c r="N59" s="85">
        <f t="shared" si="13"/>
        <v>0.40332489883506895</v>
      </c>
      <c r="O59" s="19"/>
      <c r="P59" s="64">
        <f t="shared" si="15"/>
        <v>0.21013607120076472</v>
      </c>
      <c r="Q59" s="12"/>
      <c r="R59" s="12">
        <v>1</v>
      </c>
      <c r="S59" s="12"/>
      <c r="T59" s="65">
        <f t="shared" si="1"/>
        <v>0.21013607120076472</v>
      </c>
      <c r="V59" s="55">
        <f t="shared" si="2"/>
        <v>88.082546452281306</v>
      </c>
      <c r="W59" s="11"/>
      <c r="X59" s="76">
        <f t="shared" si="3"/>
        <v>4.948639030144019E-2</v>
      </c>
      <c r="Y59" s="77"/>
      <c r="Z59" s="76">
        <f t="shared" si="4"/>
        <v>8.5017218911595076E-3</v>
      </c>
      <c r="AB59" s="74">
        <v>19.614325948000001</v>
      </c>
      <c r="AC59" s="2">
        <f t="shared" si="5"/>
        <v>14.82672049601285</v>
      </c>
      <c r="AD59" s="2">
        <f t="shared" si="16"/>
        <v>6.3778495377124211E-3</v>
      </c>
      <c r="AE59" s="57">
        <f t="shared" si="7"/>
        <v>9.4562592461286843E-2</v>
      </c>
      <c r="AG59" s="89"/>
    </row>
    <row r="60" spans="9:33" x14ac:dyDescent="0.2">
      <c r="I60" s="56">
        <f t="shared" si="14"/>
        <v>53</v>
      </c>
      <c r="J60" s="19">
        <f t="shared" si="9"/>
        <v>5.3547877413651197E-2</v>
      </c>
      <c r="K60" s="19">
        <f t="shared" si="10"/>
        <v>2.5197733539010985E-2</v>
      </c>
      <c r="L60" s="19">
        <f t="shared" si="11"/>
        <v>0.18756673197585758</v>
      </c>
      <c r="M60" s="19">
        <f t="shared" si="12"/>
        <v>0.32414821231986396</v>
      </c>
      <c r="N60" s="85">
        <f t="shared" si="13"/>
        <v>0.40953944475161513</v>
      </c>
      <c r="O60" s="19"/>
      <c r="P60" s="64">
        <f t="shared" si="15"/>
        <v>0.20392561173421347</v>
      </c>
      <c r="Q60" s="12"/>
      <c r="R60" s="12">
        <v>1</v>
      </c>
      <c r="S60" s="12"/>
      <c r="T60" s="65">
        <f t="shared" si="1"/>
        <v>0.20392561173421347</v>
      </c>
      <c r="V60" s="55">
        <f t="shared" si="2"/>
        <v>83.275751893383685</v>
      </c>
      <c r="W60" s="11"/>
      <c r="X60" s="76">
        <f t="shared" si="3"/>
        <v>4.6401052170924301E-2</v>
      </c>
      <c r="Y60" s="77"/>
      <c r="Z60" s="76">
        <f t="shared" si="4"/>
        <v>8.0425371952873668E-3</v>
      </c>
      <c r="AB60" s="74">
        <v>18.777388861999999</v>
      </c>
      <c r="AC60" s="2">
        <f t="shared" si="5"/>
        <v>14.356171802544639</v>
      </c>
      <c r="AD60" s="2">
        <f t="shared" si="16"/>
        <v>6.214545916546188E-3</v>
      </c>
      <c r="AE60" s="57">
        <f t="shared" si="7"/>
        <v>8.921708885273931E-2</v>
      </c>
      <c r="AG60" s="89"/>
    </row>
    <row r="61" spans="9:33" x14ac:dyDescent="0.2">
      <c r="I61" s="56">
        <f t="shared" si="14"/>
        <v>54</v>
      </c>
      <c r="J61" s="19">
        <f t="shared" si="9"/>
        <v>5.0670625496134464E-2</v>
      </c>
      <c r="K61" s="19">
        <f t="shared" si="10"/>
        <v>2.3858093538026447E-2</v>
      </c>
      <c r="L61" s="19">
        <f t="shared" si="11"/>
        <v>0.18311105956290313</v>
      </c>
      <c r="M61" s="19">
        <f t="shared" si="12"/>
        <v>0.3267677709545288</v>
      </c>
      <c r="N61" s="85">
        <f t="shared" si="13"/>
        <v>0.41559245044840598</v>
      </c>
      <c r="O61" s="19"/>
      <c r="P61" s="64">
        <f t="shared" si="15"/>
        <v>0.19789869908361471</v>
      </c>
      <c r="Q61" s="12"/>
      <c r="R61" s="12">
        <v>1</v>
      </c>
      <c r="S61" s="12"/>
      <c r="T61" s="65">
        <f t="shared" si="1"/>
        <v>0.19789869908361471</v>
      </c>
      <c r="V61" s="55">
        <f t="shared" si="2"/>
        <v>78.700514254547969</v>
      </c>
      <c r="W61" s="11"/>
      <c r="X61" s="76">
        <f t="shared" si="3"/>
        <v>4.3503014637795802E-2</v>
      </c>
      <c r="Y61" s="77"/>
      <c r="Z61" s="76">
        <f t="shared" si="4"/>
        <v>7.6049914252628286E-3</v>
      </c>
      <c r="AB61" s="74">
        <v>17.940451776</v>
      </c>
      <c r="AC61" s="2">
        <f t="shared" si="5"/>
        <v>13.873658949298999</v>
      </c>
      <c r="AD61" s="2">
        <f t="shared" si="16"/>
        <v>6.0530056967908474E-3</v>
      </c>
      <c r="AE61" s="57">
        <f t="shared" si="7"/>
        <v>8.397733665544016E-2</v>
      </c>
      <c r="AG61" s="89"/>
    </row>
    <row r="62" spans="9:33" x14ac:dyDescent="0.2">
      <c r="I62" s="56">
        <f t="shared" si="14"/>
        <v>55</v>
      </c>
      <c r="J62" s="19">
        <f t="shared" si="9"/>
        <v>4.7947975011890284E-2</v>
      </c>
      <c r="K62" s="19">
        <f t="shared" si="10"/>
        <v>2.2588444636384188E-2</v>
      </c>
      <c r="L62" s="19">
        <f t="shared" si="11"/>
        <v>0.17867589110476415</v>
      </c>
      <c r="M62" s="19">
        <f t="shared" si="12"/>
        <v>0.32930183293421988</v>
      </c>
      <c r="N62" s="85">
        <f t="shared" si="13"/>
        <v>0.42148585631274027</v>
      </c>
      <c r="O62" s="19"/>
      <c r="P62" s="64">
        <f t="shared" si="15"/>
        <v>0.19204990862075413</v>
      </c>
      <c r="Q62" s="12"/>
      <c r="R62" s="12">
        <v>1</v>
      </c>
      <c r="S62" s="12"/>
      <c r="T62" s="65">
        <f t="shared" si="1"/>
        <v>0.19204990862075413</v>
      </c>
      <c r="V62" s="55">
        <f t="shared" si="2"/>
        <v>74.348746480043644</v>
      </c>
      <c r="W62" s="11"/>
      <c r="X62" s="76">
        <f t="shared" si="3"/>
        <v>4.0781358358992569E-2</v>
      </c>
      <c r="Y62" s="77"/>
      <c r="Z62" s="76">
        <f t="shared" si="4"/>
        <v>7.1883837083933436E-3</v>
      </c>
      <c r="AB62" s="74">
        <v>17.103514690000001</v>
      </c>
      <c r="AC62" s="2">
        <f t="shared" si="5"/>
        <v>13.378877735836815</v>
      </c>
      <c r="AD62" s="2">
        <f t="shared" si="16"/>
        <v>5.893405864334289E-3</v>
      </c>
      <c r="AE62" s="57">
        <f t="shared" si="7"/>
        <v>7.8847156506592145E-2</v>
      </c>
      <c r="AG62" s="89"/>
    </row>
    <row r="63" spans="9:33" x14ac:dyDescent="0.2">
      <c r="I63" s="56">
        <f t="shared" si="14"/>
        <v>56</v>
      </c>
      <c r="J63" s="19">
        <f t="shared" si="9"/>
        <v>4.5371618866560881E-2</v>
      </c>
      <c r="K63" s="19">
        <f t="shared" si="10"/>
        <v>2.1385303362181061E-2</v>
      </c>
      <c r="L63" s="19">
        <f t="shared" si="11"/>
        <v>0.17426849108470682</v>
      </c>
      <c r="M63" s="19">
        <f t="shared" si="12"/>
        <v>0.33175282669081613</v>
      </c>
      <c r="N63" s="85">
        <f t="shared" si="13"/>
        <v>0.42722175999573386</v>
      </c>
      <c r="O63" s="19"/>
      <c r="P63" s="64">
        <f t="shared" si="15"/>
        <v>0.18637397603940997</v>
      </c>
      <c r="Q63" s="12"/>
      <c r="R63" s="12">
        <v>1</v>
      </c>
      <c r="S63" s="12"/>
      <c r="T63" s="65">
        <f t="shared" si="1"/>
        <v>0.18637397603940997</v>
      </c>
      <c r="V63" s="55">
        <f t="shared" si="2"/>
        <v>70.212300531235059</v>
      </c>
      <c r="W63" s="11"/>
      <c r="X63" s="76">
        <f t="shared" si="3"/>
        <v>3.8225759088579593E-2</v>
      </c>
      <c r="Y63" s="77"/>
      <c r="Z63" s="76">
        <f t="shared" si="4"/>
        <v>6.7919993356665882E-3</v>
      </c>
      <c r="AB63" s="74">
        <v>16.330556705999999</v>
      </c>
      <c r="AC63" s="2">
        <f t="shared" si="5"/>
        <v>12.910752421145837</v>
      </c>
      <c r="AD63" s="2">
        <f t="shared" si="16"/>
        <v>5.7359036829935928E-3</v>
      </c>
      <c r="AE63" s="57">
        <f t="shared" si="7"/>
        <v>7.4054832362668854E-2</v>
      </c>
      <c r="AG63" s="89"/>
    </row>
    <row r="64" spans="9:33" x14ac:dyDescent="0.2">
      <c r="I64" s="56">
        <f t="shared" si="14"/>
        <v>57</v>
      </c>
      <c r="J64" s="19">
        <f t="shared" si="9"/>
        <v>4.2933696325276917E-2</v>
      </c>
      <c r="K64" s="19">
        <f t="shared" si="10"/>
        <v>2.0245334791130061E-2</v>
      </c>
      <c r="L64" s="19">
        <f t="shared" si="11"/>
        <v>0.16989543588162445</v>
      </c>
      <c r="M64" s="19">
        <f t="shared" si="12"/>
        <v>0.3341231349132544</v>
      </c>
      <c r="N64" s="85">
        <f t="shared" si="13"/>
        <v>0.43280239808871296</v>
      </c>
      <c r="O64" s="19"/>
      <c r="P64" s="64">
        <f t="shared" si="15"/>
        <v>0.1808657926171221</v>
      </c>
      <c r="Q64" s="12"/>
      <c r="R64" s="12">
        <v>1</v>
      </c>
      <c r="S64" s="12"/>
      <c r="T64" s="65">
        <f t="shared" si="1"/>
        <v>0.1808657926171221</v>
      </c>
      <c r="V64" s="55">
        <f t="shared" si="2"/>
        <v>66.283019421697745</v>
      </c>
      <c r="W64" s="11"/>
      <c r="X64" s="76">
        <f t="shared" si="3"/>
        <v>3.5826459251670092E-2</v>
      </c>
      <c r="Y64" s="77"/>
      <c r="Z64" s="76">
        <f t="shared" si="4"/>
        <v>6.4151155275706919E-3</v>
      </c>
      <c r="AB64" s="74">
        <v>15.557598722</v>
      </c>
      <c r="AC64" s="2">
        <f t="shared" si="5"/>
        <v>12.431645032341947</v>
      </c>
      <c r="AD64" s="2">
        <f t="shared" si="16"/>
        <v>5.5806380929790955E-3</v>
      </c>
      <c r="AE64" s="57">
        <f t="shared" si="7"/>
        <v>6.9376511825881809E-2</v>
      </c>
      <c r="AG64" s="89"/>
    </row>
    <row r="65" spans="9:33" x14ac:dyDescent="0.2">
      <c r="I65" s="56">
        <f t="shared" si="14"/>
        <v>58</v>
      </c>
      <c r="J65" s="19">
        <f t="shared" si="9"/>
        <v>4.0626769028724689E-2</v>
      </c>
      <c r="K65" s="19">
        <f t="shared" si="10"/>
        <v>1.9165349945243958E-2</v>
      </c>
      <c r="L65" s="19">
        <f t="shared" si="11"/>
        <v>0.1655626582017542</v>
      </c>
      <c r="M65" s="19">
        <f t="shared" si="12"/>
        <v>0.33641509370603889</v>
      </c>
      <c r="N65" s="85">
        <f t="shared" si="13"/>
        <v>0.43823012911823706</v>
      </c>
      <c r="O65" s="19"/>
      <c r="P65" s="64">
        <f t="shared" si="15"/>
        <v>0.17552040061699686</v>
      </c>
      <c r="Q65" s="12"/>
      <c r="R65" s="12">
        <v>1</v>
      </c>
      <c r="S65" s="12"/>
      <c r="T65" s="65">
        <f t="shared" si="1"/>
        <v>0.17552040061699686</v>
      </c>
      <c r="V65" s="55">
        <f t="shared" si="2"/>
        <v>62.552782106282187</v>
      </c>
      <c r="W65" s="11"/>
      <c r="X65" s="76">
        <f t="shared" si="3"/>
        <v>3.3574240456861866E-2</v>
      </c>
      <c r="Y65" s="77"/>
      <c r="Z65" s="76">
        <f t="shared" si="4"/>
        <v>6.0570064436684702E-3</v>
      </c>
      <c r="AB65" s="74">
        <v>14.784640738</v>
      </c>
      <c r="AC65" s="2">
        <f t="shared" si="5"/>
        <v>11.941297933386169</v>
      </c>
      <c r="AD65" s="2">
        <f t="shared" si="16"/>
        <v>5.4277310295240966E-3</v>
      </c>
      <c r="AE65" s="57">
        <f t="shared" si="7"/>
        <v>6.4814153325832083E-2</v>
      </c>
      <c r="AG65" s="89"/>
    </row>
    <row r="66" spans="9:33" x14ac:dyDescent="0.2">
      <c r="I66" s="58">
        <f t="shared" si="14"/>
        <v>59</v>
      </c>
      <c r="J66" s="86">
        <f t="shared" si="9"/>
        <v>3.8443798297925796E-2</v>
      </c>
      <c r="K66" s="86">
        <f t="shared" si="10"/>
        <v>1.8142302581834059E-2</v>
      </c>
      <c r="L66" s="86">
        <f t="shared" si="11"/>
        <v>0.16127548941797262</v>
      </c>
      <c r="M66" s="86">
        <f t="shared" si="12"/>
        <v>0.33863099191907198</v>
      </c>
      <c r="N66" s="87">
        <f t="shared" si="13"/>
        <v>0.4435074177831943</v>
      </c>
      <c r="O66" s="19"/>
      <c r="P66" s="66">
        <f t="shared" si="15"/>
        <v>0.17033298882540943</v>
      </c>
      <c r="Q66" s="67"/>
      <c r="R66" s="68">
        <v>0.5</v>
      </c>
      <c r="S66" s="67"/>
      <c r="T66" s="69">
        <f t="shared" si="1"/>
        <v>8.5166494412704713E-2</v>
      </c>
      <c r="V66" s="55">
        <f t="shared" si="2"/>
        <v>29.506770978254856</v>
      </c>
      <c r="W66" s="11"/>
      <c r="X66" s="76">
        <f t="shared" si="3"/>
        <v>1.5730198483576933E-2</v>
      </c>
      <c r="Y66" s="77"/>
      <c r="Z66" s="76">
        <f t="shared" si="4"/>
        <v>2.8584737561727462E-3</v>
      </c>
      <c r="AB66" s="75">
        <v>14.011682754000001</v>
      </c>
      <c r="AC66" s="59">
        <f t="shared" si="5"/>
        <v>11.439447444178276</v>
      </c>
      <c r="AD66" s="59">
        <f t="shared" si="16"/>
        <v>5.277288664957247E-3</v>
      </c>
      <c r="AE66" s="136">
        <f t="shared" si="7"/>
        <v>3.0184633165268083E-2</v>
      </c>
      <c r="AG66" s="89"/>
    </row>
    <row r="67" spans="9:33" x14ac:dyDescent="0.2">
      <c r="P67" s="12"/>
      <c r="Q67" s="12"/>
      <c r="R67" s="12"/>
      <c r="S67" s="12"/>
      <c r="T67" s="12"/>
      <c r="V67" s="11"/>
      <c r="W67" s="11"/>
      <c r="Y67" s="11"/>
    </row>
  </sheetData>
  <mergeCells count="13">
    <mergeCell ref="AH6:AL6"/>
    <mergeCell ref="AJ7:AL7"/>
    <mergeCell ref="C16:G16"/>
    <mergeCell ref="A18:A22"/>
    <mergeCell ref="AH7:AI7"/>
    <mergeCell ref="I2:N5"/>
    <mergeCell ref="P2:T2"/>
    <mergeCell ref="V2:AE2"/>
    <mergeCell ref="AB4:AE4"/>
    <mergeCell ref="V5:V6"/>
    <mergeCell ref="X5:X6"/>
    <mergeCell ref="Z5:Z6"/>
    <mergeCell ref="AE5:AE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1D990-218D-BF40-AC39-A6D3C111A12E}">
  <sheetPr codeName="Sheet9"/>
  <dimension ref="A2:AL67"/>
  <sheetViews>
    <sheetView topLeftCell="V1" zoomScale="151" zoomScaleNormal="151" workbookViewId="0">
      <selection activeCell="AE5" sqref="AE5:AE66"/>
    </sheetView>
  </sheetViews>
  <sheetFormatPr baseColWidth="10" defaultRowHeight="16" x14ac:dyDescent="0.2"/>
  <cols>
    <col min="1" max="1" width="10.83203125" style="2"/>
    <col min="2" max="2" width="12.33203125" style="2" customWidth="1"/>
    <col min="3" max="3" width="10.83203125" style="2"/>
    <col min="4" max="4" width="12.33203125" style="2" customWidth="1"/>
    <col min="5" max="6" width="15.1640625" style="2" customWidth="1"/>
    <col min="7" max="7" width="19.33203125" style="2" customWidth="1"/>
    <col min="8" max="8" width="10.83203125" style="2"/>
    <col min="9" max="9" width="10.83203125" style="10"/>
    <col min="10" max="13" width="10.83203125" style="2"/>
    <col min="14" max="14" width="15" style="2" customWidth="1"/>
    <col min="15" max="15" width="3.33203125" style="2" customWidth="1"/>
    <col min="16" max="16" width="14.5" style="2" customWidth="1"/>
    <col min="17" max="17" width="2.33203125" style="2" customWidth="1"/>
    <col min="18" max="18" width="10.83203125" style="2"/>
    <col min="19" max="19" width="2.6640625" style="2" customWidth="1"/>
    <col min="20" max="20" width="14.6640625" style="2" customWidth="1"/>
    <col min="21" max="21" width="1.83203125" style="2" customWidth="1"/>
    <col min="22" max="22" width="15" style="2" customWidth="1"/>
    <col min="23" max="23" width="2.33203125" style="2" customWidth="1"/>
    <col min="24" max="24" width="15" style="52" customWidth="1"/>
    <col min="25" max="25" width="2.1640625" style="2" customWidth="1"/>
    <col min="26" max="26" width="15" style="52" customWidth="1"/>
    <col min="27" max="27" width="2.83203125" style="2" customWidth="1"/>
    <col min="28" max="28" width="13.83203125" style="2" customWidth="1"/>
    <col min="29" max="29" width="15.33203125" style="2" customWidth="1"/>
    <col min="30" max="30" width="19.6640625" style="2" customWidth="1"/>
    <col min="31" max="31" width="15" style="2" customWidth="1"/>
    <col min="32" max="32" width="2.83203125" style="2" customWidth="1"/>
    <col min="33" max="33" width="4.83203125" style="2" customWidth="1"/>
    <col min="34" max="34" width="15.83203125" style="2" customWidth="1"/>
    <col min="35" max="35" width="15.5" style="2" customWidth="1"/>
    <col min="36" max="37" width="10.83203125" style="2"/>
    <col min="38" max="38" width="16.33203125" style="2" customWidth="1"/>
    <col min="39" max="16384" width="10.83203125" style="2"/>
  </cols>
  <sheetData>
    <row r="2" spans="2:38" ht="16" customHeight="1" x14ac:dyDescent="0.2">
      <c r="I2" s="113" t="s">
        <v>5</v>
      </c>
      <c r="J2" s="114"/>
      <c r="K2" s="114"/>
      <c r="L2" s="114"/>
      <c r="M2" s="114"/>
      <c r="N2" s="115"/>
      <c r="O2" s="7"/>
      <c r="P2" s="128" t="s">
        <v>102</v>
      </c>
      <c r="Q2" s="129"/>
      <c r="R2" s="129"/>
      <c r="S2" s="129"/>
      <c r="T2" s="130"/>
      <c r="V2" s="128" t="s">
        <v>108</v>
      </c>
      <c r="W2" s="129"/>
      <c r="X2" s="129"/>
      <c r="Y2" s="129"/>
      <c r="Z2" s="129"/>
      <c r="AA2" s="129"/>
      <c r="AB2" s="129"/>
      <c r="AC2" s="129"/>
      <c r="AD2" s="129"/>
      <c r="AE2" s="130"/>
    </row>
    <row r="3" spans="2:38" x14ac:dyDescent="0.2">
      <c r="I3" s="116"/>
      <c r="J3" s="117"/>
      <c r="K3" s="117"/>
      <c r="L3" s="117"/>
      <c r="M3" s="117"/>
      <c r="N3" s="118"/>
      <c r="O3" s="7"/>
      <c r="P3" s="78"/>
      <c r="Q3" s="79"/>
      <c r="R3" s="79"/>
      <c r="S3" s="79"/>
      <c r="T3" s="80"/>
      <c r="V3" s="78"/>
      <c r="W3" s="79"/>
      <c r="X3" s="79"/>
      <c r="Y3" s="79"/>
      <c r="Z3" s="79"/>
      <c r="AA3" s="79"/>
      <c r="AB3" s="79"/>
      <c r="AC3" s="79"/>
      <c r="AD3" s="79"/>
      <c r="AE3" s="80"/>
    </row>
    <row r="4" spans="2:38" ht="18" customHeight="1" x14ac:dyDescent="0.2">
      <c r="I4" s="116"/>
      <c r="J4" s="117"/>
      <c r="K4" s="117"/>
      <c r="L4" s="117"/>
      <c r="M4" s="117"/>
      <c r="N4" s="118"/>
      <c r="O4" s="7"/>
      <c r="P4" s="56"/>
      <c r="Q4" s="10"/>
      <c r="R4" s="10"/>
      <c r="S4" s="10"/>
      <c r="T4" s="63"/>
      <c r="V4" s="92"/>
      <c r="W4" s="73"/>
      <c r="X4" s="91"/>
      <c r="Y4" s="73"/>
      <c r="Z4" s="91"/>
      <c r="AA4" s="5"/>
      <c r="AB4" s="125" t="s">
        <v>103</v>
      </c>
      <c r="AC4" s="131"/>
      <c r="AD4" s="131"/>
      <c r="AE4" s="126"/>
      <c r="AG4" s="73"/>
    </row>
    <row r="5" spans="2:38" ht="184" customHeight="1" x14ac:dyDescent="0.2">
      <c r="I5" s="119"/>
      <c r="J5" s="120"/>
      <c r="K5" s="120"/>
      <c r="L5" s="120"/>
      <c r="M5" s="120"/>
      <c r="N5" s="121"/>
      <c r="O5" s="7"/>
      <c r="P5" s="70" t="s">
        <v>110</v>
      </c>
      <c r="Q5" s="6"/>
      <c r="R5" s="70" t="s">
        <v>111</v>
      </c>
      <c r="S5" s="7"/>
      <c r="T5" s="70" t="s">
        <v>112</v>
      </c>
      <c r="U5" s="6"/>
      <c r="V5" s="132" t="s">
        <v>97</v>
      </c>
      <c r="W5" s="7"/>
      <c r="X5" s="134" t="s">
        <v>95</v>
      </c>
      <c r="Y5" s="7"/>
      <c r="Z5" s="134" t="s">
        <v>96</v>
      </c>
      <c r="AA5" s="90"/>
      <c r="AB5" s="70" t="s">
        <v>115</v>
      </c>
      <c r="AC5" s="70" t="s">
        <v>113</v>
      </c>
      <c r="AD5" s="70" t="s">
        <v>114</v>
      </c>
      <c r="AE5" s="132" t="s">
        <v>174</v>
      </c>
      <c r="AF5" s="7"/>
      <c r="AG5" s="88"/>
    </row>
    <row r="6" spans="2:38" ht="17" thickBot="1" x14ac:dyDescent="0.25">
      <c r="I6" s="9" t="s">
        <v>8</v>
      </c>
      <c r="J6" s="8" t="s">
        <v>1</v>
      </c>
      <c r="K6" s="8" t="s">
        <v>3</v>
      </c>
      <c r="L6" s="8" t="s">
        <v>17</v>
      </c>
      <c r="M6" s="8" t="s">
        <v>52</v>
      </c>
      <c r="N6" s="8" t="s">
        <v>51</v>
      </c>
      <c r="O6" s="5"/>
      <c r="P6" s="72"/>
      <c r="Q6" s="5"/>
      <c r="R6" s="72"/>
      <c r="S6" s="5"/>
      <c r="T6" s="72"/>
      <c r="U6" s="5"/>
      <c r="V6" s="133"/>
      <c r="W6" s="91"/>
      <c r="X6" s="135"/>
      <c r="Y6" s="91"/>
      <c r="Z6" s="135"/>
      <c r="AA6" s="91"/>
      <c r="AB6" s="71"/>
      <c r="AC6" s="71"/>
      <c r="AD6" s="71"/>
      <c r="AE6" s="133"/>
      <c r="AG6" s="88"/>
      <c r="AH6" s="122" t="s">
        <v>109</v>
      </c>
      <c r="AI6" s="123"/>
      <c r="AJ6" s="123"/>
      <c r="AK6" s="123"/>
      <c r="AL6" s="124"/>
    </row>
    <row r="7" spans="2:38" x14ac:dyDescent="0.2">
      <c r="B7" s="54" t="s">
        <v>9</v>
      </c>
      <c r="I7" s="56">
        <v>0</v>
      </c>
      <c r="J7" s="19">
        <v>1</v>
      </c>
      <c r="K7" s="19">
        <v>0</v>
      </c>
      <c r="L7" s="19">
        <v>0</v>
      </c>
      <c r="M7" s="19">
        <v>0</v>
      </c>
      <c r="N7" s="85">
        <v>0</v>
      </c>
      <c r="O7" s="19"/>
      <c r="P7" s="64">
        <f t="shared" ref="P7:P38" si="0">EXP(-r_Delta_t * I7)</f>
        <v>1</v>
      </c>
      <c r="Q7" s="12"/>
      <c r="R7" s="13">
        <v>0.5</v>
      </c>
      <c r="S7" s="13"/>
      <c r="T7" s="65">
        <f>P7*R7</f>
        <v>0.5</v>
      </c>
      <c r="V7" s="55">
        <f>T7*($E$9*J7+$E$10*K7+$E$11*L7+$E$12*M7*$E$13*N7)</f>
        <v>125</v>
      </c>
      <c r="W7" s="11"/>
      <c r="X7" s="76">
        <f>T7*($F$9*J7+$F$10*K7+$F$11*L7+$F$12*M7+$F$13*N7)</f>
        <v>0.5</v>
      </c>
      <c r="Y7" s="77"/>
      <c r="Z7" s="76">
        <f>T7*($G$9*J7+$G$10*K7+$G$11*L7+$G$12*M7+$G$13*N7)</f>
        <v>0</v>
      </c>
      <c r="AB7" s="74">
        <v>69.107567919999994</v>
      </c>
      <c r="AC7" s="2">
        <f>(1/r_ann)*(1-EXP(-r_ann*AB7))</f>
        <v>29.140692274277946</v>
      </c>
      <c r="AD7" s="2">
        <f>0</f>
        <v>0</v>
      </c>
      <c r="AE7" s="57">
        <f>R7*AC7*AD7</f>
        <v>0</v>
      </c>
      <c r="AG7" s="93"/>
      <c r="AH7" s="125"/>
      <c r="AI7" s="126"/>
      <c r="AJ7" s="127" t="s">
        <v>101</v>
      </c>
      <c r="AK7" s="127"/>
      <c r="AL7" s="127"/>
    </row>
    <row r="8" spans="2:38" ht="17" thickBot="1" x14ac:dyDescent="0.25">
      <c r="C8" s="81" t="s">
        <v>6</v>
      </c>
      <c r="D8" s="81" t="s">
        <v>104</v>
      </c>
      <c r="E8" s="81" t="s">
        <v>105</v>
      </c>
      <c r="F8" s="81" t="s">
        <v>106</v>
      </c>
      <c r="G8" s="81" t="s">
        <v>107</v>
      </c>
      <c r="I8" s="56">
        <f>I7+1</f>
        <v>1</v>
      </c>
      <c r="J8" s="19">
        <f>J7*$C$18+K7*$C$19+L7*$C$20+M7*$C$21+N7*$C$22</f>
        <v>0.94401610461644836</v>
      </c>
      <c r="K8" s="19">
        <f>J7*$D$18+K7*$D$19+L7*$D$20+M7*$D$21+N7*$D$22</f>
        <v>4.2779849611795248E-2</v>
      </c>
      <c r="L8" s="19">
        <f>J7*$E$18+K7*$E$19+L7*$E$20+M7*$E$21+N7*$E$22</f>
        <v>2.7609199376632402E-3</v>
      </c>
      <c r="M8" s="19">
        <f>J7*$F$18+K7*$F$19+L7*$F$20+M7*$F$21+N7*$F$22</f>
        <v>9.9485170055332601E-3</v>
      </c>
      <c r="N8" s="85">
        <f>J7*$G$18+K7*$G$19+L7*$G$20+M7*$G$21+N7*$G$22</f>
        <v>4.9460882855984205E-4</v>
      </c>
      <c r="O8" s="19"/>
      <c r="P8" s="64">
        <f t="shared" si="0"/>
        <v>0.97044553354850815</v>
      </c>
      <c r="Q8" s="12"/>
      <c r="R8" s="12">
        <v>1</v>
      </c>
      <c r="S8" s="12"/>
      <c r="T8" s="65">
        <f t="shared" ref="T8:T66" si="1">P8*R8</f>
        <v>0.97044553354850815</v>
      </c>
      <c r="V8" s="55">
        <f t="shared" ref="V8:V66" si="2">T8*($E$9*J8+$E$10*K8+$E$11*L8+$E$12*M8*$E$13*N8)</f>
        <v>275.90321190634756</v>
      </c>
      <c r="W8" s="11"/>
      <c r="X8" s="76">
        <f t="shared" ref="X8:X66" si="3">T8*($F$9*J8+$F$10*K8+$F$11*L8+$F$12*M8+$F$13*N8)</f>
        <v>0.95769940854304714</v>
      </c>
      <c r="Y8" s="77"/>
      <c r="Z8" s="76">
        <f t="shared" ref="Z8:Z66" si="4">T8*($G$9*J8+$G$10*K8+$G$11*L8+$G$12*M8+$G$13*N8)</f>
        <v>4.617802514846038E-3</v>
      </c>
      <c r="AB8" s="74">
        <v>68.115914398000001</v>
      </c>
      <c r="AC8" s="2">
        <f t="shared" ref="AC8:AC66" si="5">(1/r_ann)*(1-EXP(-r_ann*AB8))</f>
        <v>29.014088994539382</v>
      </c>
      <c r="AD8" s="2">
        <f t="shared" ref="AD8:AD39" si="6">N8-N7</f>
        <v>4.9460882855984205E-4</v>
      </c>
      <c r="AE8" s="57">
        <f t="shared" ref="AE8:AE66" si="7">R8*AC8*AD8</f>
        <v>1.4350624569320129E-2</v>
      </c>
      <c r="AG8" s="93"/>
      <c r="AH8" s="94" t="s">
        <v>130</v>
      </c>
      <c r="AI8" s="94" t="s">
        <v>131</v>
      </c>
      <c r="AJ8" s="60" t="s">
        <v>132</v>
      </c>
      <c r="AK8" s="60" t="s">
        <v>133</v>
      </c>
      <c r="AL8" s="60" t="s">
        <v>134</v>
      </c>
    </row>
    <row r="9" spans="2:38" x14ac:dyDescent="0.2">
      <c r="C9" s="82" t="s">
        <v>73</v>
      </c>
      <c r="D9" s="82" t="s">
        <v>1</v>
      </c>
      <c r="E9" s="97">
        <f>c_TxC</f>
        <v>250</v>
      </c>
      <c r="F9" s="82">
        <f>uHealthy</f>
        <v>1</v>
      </c>
      <c r="G9" s="82">
        <v>0</v>
      </c>
      <c r="I9" s="56">
        <f t="shared" ref="I9:I10" si="8">I8+1</f>
        <v>2</v>
      </c>
      <c r="J9" s="19">
        <f>J8*$C$18+K8*$C$19+L8*$C$20+M8*$C$21+N8*$C$22</f>
        <v>0.89116640577521322</v>
      </c>
      <c r="K9" s="19">
        <f>J8*$D$18+K8*$D$19+L8*$D$20+M8*$D$21+N8*$D$22</f>
        <v>7.7205824777741017E-2</v>
      </c>
      <c r="L9" s="19">
        <f>J8*$E$18+K8*$E$19+L8*$E$20+M8*$E$21+N8*$E$22</f>
        <v>9.9297100661454689E-3</v>
      </c>
      <c r="M9" s="19">
        <f>J8*$F$18+K8*$F$19+L8*$F$20+M8*$F$21+N8*$F$22</f>
        <v>1.9788505783706698E-2</v>
      </c>
      <c r="N9" s="85">
        <f>J8*$G$18+K8*$G$19+L8*$G$20+M8*$G$21+N8*$G$22</f>
        <v>1.909553597193539E-3</v>
      </c>
      <c r="O9" s="19"/>
      <c r="P9" s="64">
        <f t="shared" si="0"/>
        <v>0.94176453358424872</v>
      </c>
      <c r="Q9" s="12"/>
      <c r="R9" s="12">
        <v>1</v>
      </c>
      <c r="S9" s="12"/>
      <c r="T9" s="65">
        <f t="shared" si="1"/>
        <v>0.94176453358424872</v>
      </c>
      <c r="V9" s="55">
        <f t="shared" si="2"/>
        <v>301.22983372014835</v>
      </c>
      <c r="W9" s="11"/>
      <c r="X9" s="76">
        <f t="shared" si="3"/>
        <v>0.91582429567980794</v>
      </c>
      <c r="Y9" s="77"/>
      <c r="Z9" s="76">
        <f t="shared" si="4"/>
        <v>9.0055025688985484E-3</v>
      </c>
      <c r="AB9" s="74">
        <v>67.124260875999994</v>
      </c>
      <c r="AC9" s="2">
        <f t="shared" si="5"/>
        <v>28.883662733006101</v>
      </c>
      <c r="AD9" s="2">
        <f t="shared" si="6"/>
        <v>1.4149447686336971E-3</v>
      </c>
      <c r="AE9" s="57">
        <f t="shared" si="7"/>
        <v>4.0868787483047057E-2</v>
      </c>
      <c r="AG9" s="93"/>
      <c r="AH9" s="61">
        <f>SUM(V7:V66)</f>
        <v>15273.149639156478</v>
      </c>
      <c r="AI9" s="62">
        <f>SUM(X7:X66)</f>
        <v>17.964019427477339</v>
      </c>
      <c r="AJ9" s="62">
        <f>SUM(Z7:Z66)</f>
        <v>1.2249421602637895</v>
      </c>
      <c r="AK9" s="62">
        <f>SUM(AE7:AE66)</f>
        <v>10.019035746393007</v>
      </c>
      <c r="AL9" s="62">
        <f>AJ9+AK9</f>
        <v>11.243977906656797</v>
      </c>
    </row>
    <row r="10" spans="2:38" x14ac:dyDescent="0.2">
      <c r="C10" s="83" t="s">
        <v>73</v>
      </c>
      <c r="D10" s="83" t="s">
        <v>3</v>
      </c>
      <c r="E10" s="83">
        <f>c_Sick</f>
        <v>1000</v>
      </c>
      <c r="F10" s="83">
        <f>uS1_</f>
        <v>0.95</v>
      </c>
      <c r="G10" s="83">
        <f>dwS1_</f>
        <v>9.8514888171639503E-2</v>
      </c>
      <c r="I10" s="56">
        <f t="shared" si="8"/>
        <v>3</v>
      </c>
      <c r="J10" s="19">
        <f t="shared" ref="J10:J66" si="9">J9*$C$18+K9*$C$19+L9*$C$20+M9*$C$21+N9*$C$22</f>
        <v>0.84127543894495793</v>
      </c>
      <c r="K10" s="19">
        <f t="shared" ref="K10:K66" si="10">J9*$D$18+K9*$D$19+L9*$D$20+M9*$D$21+N9*$D$22</f>
        <v>0.10457563403082479</v>
      </c>
      <c r="L10" s="19">
        <f t="shared" ref="L10:L66" si="11">J9*$E$18+K9*$E$19+L9*$E$20+M9*$E$21+N9*$E$22</f>
        <v>2.0430114435409839E-2</v>
      </c>
      <c r="M10" s="19">
        <f t="shared" ref="M10:M66" si="12">J9*$F$18+K9*$F$19+L9*$F$20+M9*$F$21+N9*$F$22</f>
        <v>2.9512073425725774E-2</v>
      </c>
      <c r="N10" s="85">
        <f t="shared" ref="N10:N66" si="13">J9*$G$18+K9*$G$19+L9*$G$20+M9*$G$21+N9*$G$22</f>
        <v>4.2067391630815354E-3</v>
      </c>
      <c r="O10" s="19"/>
      <c r="P10" s="64">
        <f t="shared" si="0"/>
        <v>0.91393118527122819</v>
      </c>
      <c r="Q10" s="12"/>
      <c r="R10" s="12">
        <v>1</v>
      </c>
      <c r="S10" s="12"/>
      <c r="T10" s="65">
        <f t="shared" si="1"/>
        <v>0.91393118527122819</v>
      </c>
      <c r="V10" s="55">
        <f t="shared" si="2"/>
        <v>325.13533532627832</v>
      </c>
      <c r="W10" s="11"/>
      <c r="X10" s="76">
        <f t="shared" si="3"/>
        <v>0.87460142051775069</v>
      </c>
      <c r="Y10" s="77"/>
      <c r="Z10" s="76">
        <f t="shared" si="4"/>
        <v>1.309443841193539E-2</v>
      </c>
      <c r="AB10" s="74">
        <v>66.132607354000001</v>
      </c>
      <c r="AC10" s="2">
        <f t="shared" si="5"/>
        <v>28.749298048831442</v>
      </c>
      <c r="AD10" s="2">
        <f t="shared" si="6"/>
        <v>2.2971855658879964E-3</v>
      </c>
      <c r="AE10" s="57">
        <f t="shared" si="7"/>
        <v>6.6042472507187519E-2</v>
      </c>
      <c r="AG10" s="89"/>
      <c r="AH10" s="5"/>
    </row>
    <row r="11" spans="2:38" x14ac:dyDescent="0.2">
      <c r="C11" s="83" t="s">
        <v>73</v>
      </c>
      <c r="D11" s="83" t="s">
        <v>17</v>
      </c>
      <c r="E11" s="83">
        <f>c_Sicker</f>
        <v>2000</v>
      </c>
      <c r="F11" s="83">
        <f>uS2_</f>
        <v>0.8</v>
      </c>
      <c r="G11" s="83">
        <f>dwS2_</f>
        <v>0.19702977634327901</v>
      </c>
      <c r="I11" s="56">
        <f>I10+1</f>
        <v>4</v>
      </c>
      <c r="J11" s="19">
        <f t="shared" si="9"/>
        <v>0.79417756278231189</v>
      </c>
      <c r="K11" s="19">
        <f t="shared" si="10"/>
        <v>0.12599871911020097</v>
      </c>
      <c r="L11" s="19">
        <f t="shared" si="11"/>
        <v>3.3369276780231411E-2</v>
      </c>
      <c r="M11" s="19">
        <f t="shared" si="12"/>
        <v>3.9111813164857109E-2</v>
      </c>
      <c r="N11" s="85">
        <f t="shared" si="13"/>
        <v>7.3426281623984145E-3</v>
      </c>
      <c r="O11" s="19"/>
      <c r="P11" s="64">
        <f t="shared" si="0"/>
        <v>0.88692043671715748</v>
      </c>
      <c r="Q11" s="12"/>
      <c r="R11" s="12">
        <v>1</v>
      </c>
      <c r="S11" s="12"/>
      <c r="T11" s="65">
        <f t="shared" si="1"/>
        <v>0.88692043671715748</v>
      </c>
      <c r="V11" s="55">
        <f t="shared" si="2"/>
        <v>347.03570375220295</v>
      </c>
      <c r="W11" s="11"/>
      <c r="X11" s="76">
        <f t="shared" si="3"/>
        <v>0.83421232267181344</v>
      </c>
      <c r="Y11" s="77"/>
      <c r="Z11" s="76">
        <f t="shared" si="4"/>
        <v>1.6840393688957914E-2</v>
      </c>
      <c r="AB11" s="74">
        <v>65.140953831999994</v>
      </c>
      <c r="AC11" s="2">
        <f t="shared" si="5"/>
        <v>28.610876015253876</v>
      </c>
      <c r="AD11" s="2">
        <f t="shared" si="6"/>
        <v>3.1358889993168791E-3</v>
      </c>
      <c r="AE11" s="57">
        <f t="shared" si="7"/>
        <v>8.9720531357053768E-2</v>
      </c>
      <c r="AG11" s="89"/>
      <c r="AH11" s="5"/>
    </row>
    <row r="12" spans="2:38" x14ac:dyDescent="0.2">
      <c r="C12" s="83" t="s">
        <v>73</v>
      </c>
      <c r="D12" s="83" t="s">
        <v>52</v>
      </c>
      <c r="E12" s="83">
        <f>c_DeadBG</f>
        <v>0</v>
      </c>
      <c r="F12" s="83">
        <f>uDeadBG</f>
        <v>0</v>
      </c>
      <c r="G12" s="83">
        <f>0</f>
        <v>0</v>
      </c>
      <c r="I12" s="56">
        <f>I11+1</f>
        <v>5</v>
      </c>
      <c r="J12" s="19">
        <f t="shared" si="9"/>
        <v>0.74971640919154292</v>
      </c>
      <c r="K12" s="19">
        <f t="shared" si="10"/>
        <v>0.14242289925837975</v>
      </c>
      <c r="L12" s="19">
        <f t="shared" si="11"/>
        <v>4.8010021510066656E-2</v>
      </c>
      <c r="M12" s="19">
        <f t="shared" si="12"/>
        <v>4.8580845551989868E-2</v>
      </c>
      <c r="N12" s="85">
        <f t="shared" si="13"/>
        <v>1.1269824488020559E-2</v>
      </c>
      <c r="O12" s="19"/>
      <c r="P12" s="64">
        <f t="shared" si="0"/>
        <v>0.86070797642505781</v>
      </c>
      <c r="Q12" s="12"/>
      <c r="R12" s="12">
        <v>1</v>
      </c>
      <c r="S12" s="12"/>
      <c r="T12" s="65">
        <f t="shared" si="1"/>
        <v>0.86070797642505781</v>
      </c>
      <c r="V12" s="55">
        <f t="shared" si="2"/>
        <v>366.55146570335421</v>
      </c>
      <c r="W12" s="11"/>
      <c r="X12" s="76">
        <f t="shared" si="3"/>
        <v>0.79480027936396225</v>
      </c>
      <c r="Y12" s="77"/>
      <c r="Z12" s="76">
        <f t="shared" si="4"/>
        <v>2.021818511625503E-2</v>
      </c>
      <c r="AB12" s="74">
        <v>64.149300310000001</v>
      </c>
      <c r="AC12" s="2">
        <f t="shared" si="5"/>
        <v>28.468274114334424</v>
      </c>
      <c r="AD12" s="2">
        <f t="shared" si="6"/>
        <v>3.9271963256221447E-3</v>
      </c>
      <c r="AE12" s="57">
        <f t="shared" si="7"/>
        <v>0.11180050149861817</v>
      </c>
      <c r="AG12" s="89"/>
      <c r="AH12" s="5"/>
    </row>
    <row r="13" spans="2:38" x14ac:dyDescent="0.2">
      <c r="C13" s="83" t="s">
        <v>73</v>
      </c>
      <c r="D13" s="83" t="s">
        <v>51</v>
      </c>
      <c r="E13" s="83">
        <f>c_DeadDisease</f>
        <v>0</v>
      </c>
      <c r="F13" s="83">
        <f>uDeadDisease</f>
        <v>0</v>
      </c>
      <c r="G13" s="83">
        <f>0</f>
        <v>0</v>
      </c>
      <c r="I13" s="56">
        <f t="shared" ref="I13:I66" si="14">I12+1</f>
        <v>6</v>
      </c>
      <c r="J13" s="19">
        <f t="shared" si="9"/>
        <v>0.70774436417203157</v>
      </c>
      <c r="K13" s="19">
        <f t="shared" si="10"/>
        <v>0.1546572806539793</v>
      </c>
      <c r="L13" s="19">
        <f t="shared" si="11"/>
        <v>6.3747129076954415E-2</v>
      </c>
      <c r="M13" s="19">
        <f t="shared" si="12"/>
        <v>5.7912844876165839E-2</v>
      </c>
      <c r="N13" s="85">
        <f t="shared" si="13"/>
        <v>1.5938381220868596E-2</v>
      </c>
      <c r="O13" s="19"/>
      <c r="P13" s="64">
        <f t="shared" si="0"/>
        <v>0.835270211411272</v>
      </c>
      <c r="Q13" s="12"/>
      <c r="R13" s="12">
        <v>1</v>
      </c>
      <c r="S13" s="12"/>
      <c r="T13" s="65">
        <f t="shared" si="1"/>
        <v>0.835270211411272</v>
      </c>
      <c r="V13" s="55">
        <f t="shared" si="2"/>
        <v>383.46222164185775</v>
      </c>
      <c r="W13" s="11"/>
      <c r="X13" s="76">
        <f t="shared" si="3"/>
        <v>0.75647623560461918</v>
      </c>
      <c r="Y13" s="77"/>
      <c r="Z13" s="76">
        <f t="shared" si="4"/>
        <v>2.3217277120534879E-2</v>
      </c>
      <c r="AB13" s="74">
        <v>63.158695668</v>
      </c>
      <c r="AC13" s="2">
        <f t="shared" si="5"/>
        <v>28.321523834599102</v>
      </c>
      <c r="AD13" s="2">
        <f t="shared" si="6"/>
        <v>4.6685567328480365E-3</v>
      </c>
      <c r="AE13" s="57">
        <f t="shared" si="7"/>
        <v>0.13222064078253379</v>
      </c>
      <c r="AG13" s="89"/>
    </row>
    <row r="14" spans="2:38" x14ac:dyDescent="0.2">
      <c r="I14" s="56">
        <f t="shared" si="14"/>
        <v>7</v>
      </c>
      <c r="J14" s="19">
        <f t="shared" si="9"/>
        <v>0.66812207772992627</v>
      </c>
      <c r="K14" s="19">
        <f t="shared" si="10"/>
        <v>0.16339195253396396</v>
      </c>
      <c r="L14" s="19">
        <f t="shared" si="11"/>
        <v>8.0087041412979787E-2</v>
      </c>
      <c r="M14" s="19">
        <f t="shared" si="12"/>
        <v>6.7102053504918921E-2</v>
      </c>
      <c r="N14" s="85">
        <f t="shared" si="13"/>
        <v>2.1296874818210739E-2</v>
      </c>
      <c r="O14" s="19"/>
      <c r="P14" s="64">
        <f t="shared" si="0"/>
        <v>0.81058424597018708</v>
      </c>
      <c r="Q14" s="12"/>
      <c r="R14" s="12">
        <v>1</v>
      </c>
      <c r="S14" s="12"/>
      <c r="T14" s="65">
        <f t="shared" si="1"/>
        <v>0.81058424597018708</v>
      </c>
      <c r="V14" s="55">
        <f t="shared" si="2"/>
        <v>397.66983844197324</v>
      </c>
      <c r="W14" s="11"/>
      <c r="X14" s="76">
        <f t="shared" si="3"/>
        <v>0.71932386136354853</v>
      </c>
      <c r="Y14" s="77"/>
      <c r="Z14" s="76">
        <f t="shared" si="4"/>
        <v>2.5838241616083616E-2</v>
      </c>
      <c r="AB14" s="74">
        <v>62.168091025999999</v>
      </c>
      <c r="AC14" s="2">
        <f t="shared" si="5"/>
        <v>28.17034696031828</v>
      </c>
      <c r="AD14" s="2">
        <f t="shared" si="6"/>
        <v>5.3584935973421434E-3</v>
      </c>
      <c r="AE14" s="57">
        <f t="shared" si="7"/>
        <v>0.15095062382177221</v>
      </c>
      <c r="AG14" s="89"/>
    </row>
    <row r="15" spans="2:38" x14ac:dyDescent="0.2">
      <c r="B15" s="53" t="s">
        <v>98</v>
      </c>
      <c r="I15" s="56">
        <f t="shared" si="14"/>
        <v>8</v>
      </c>
      <c r="J15" s="19">
        <f t="shared" si="9"/>
        <v>0.63071800122685295</v>
      </c>
      <c r="K15" s="19">
        <f t="shared" si="10"/>
        <v>0.16921491883725367</v>
      </c>
      <c r="L15" s="19">
        <f t="shared" si="11"/>
        <v>9.6630512194066542E-2</v>
      </c>
      <c r="M15" s="19">
        <f t="shared" si="12"/>
        <v>7.6143286407499455E-2</v>
      </c>
      <c r="N15" s="85">
        <f t="shared" si="13"/>
        <v>2.7293281334327041E-2</v>
      </c>
      <c r="O15" s="19"/>
      <c r="P15" s="64">
        <f t="shared" si="0"/>
        <v>0.78662786106655347</v>
      </c>
      <c r="Q15" s="12"/>
      <c r="R15" s="12">
        <v>1</v>
      </c>
      <c r="S15" s="12"/>
      <c r="T15" s="65">
        <f t="shared" si="1"/>
        <v>0.78662786106655347</v>
      </c>
      <c r="V15" s="55">
        <f t="shared" si="2"/>
        <v>409.16876396778025</v>
      </c>
      <c r="W15" s="11"/>
      <c r="X15" s="76">
        <f t="shared" si="3"/>
        <v>0.6834038659202627</v>
      </c>
      <c r="Y15" s="77"/>
      <c r="Z15" s="76">
        <f t="shared" si="4"/>
        <v>2.8089912195992654E-2</v>
      </c>
      <c r="AB15" s="74">
        <v>61.177486383999998</v>
      </c>
      <c r="AC15" s="2">
        <f t="shared" si="5"/>
        <v>28.01460996711771</v>
      </c>
      <c r="AD15" s="2">
        <f t="shared" si="6"/>
        <v>5.9964065161163017E-3</v>
      </c>
      <c r="AE15" s="57">
        <f t="shared" si="7"/>
        <v>0.16798698975328133</v>
      </c>
      <c r="AG15" s="89"/>
    </row>
    <row r="16" spans="2:38" x14ac:dyDescent="0.2">
      <c r="C16" s="111" t="s">
        <v>99</v>
      </c>
      <c r="D16" s="111"/>
      <c r="E16" s="111"/>
      <c r="F16" s="111"/>
      <c r="G16" s="111"/>
      <c r="I16" s="56">
        <f t="shared" si="14"/>
        <v>9</v>
      </c>
      <c r="J16" s="19">
        <f t="shared" si="9"/>
        <v>0.59540795062964602</v>
      </c>
      <c r="K16" s="19">
        <f t="shared" si="10"/>
        <v>0.17262665161327992</v>
      </c>
      <c r="L16" s="19">
        <f t="shared" si="11"/>
        <v>0.11305778471239596</v>
      </c>
      <c r="M16" s="19">
        <f t="shared" si="12"/>
        <v>8.5031927772018817E-2</v>
      </c>
      <c r="N16" s="85">
        <f t="shared" si="13"/>
        <v>3.387568527265894E-2</v>
      </c>
      <c r="O16" s="19"/>
      <c r="P16" s="64">
        <f t="shared" si="0"/>
        <v>0.76337949433685315</v>
      </c>
      <c r="Q16" s="12"/>
      <c r="R16" s="12">
        <v>1</v>
      </c>
      <c r="S16" s="12"/>
      <c r="T16" s="65">
        <f t="shared" si="1"/>
        <v>0.76337949433685315</v>
      </c>
      <c r="V16" s="55">
        <f t="shared" si="2"/>
        <v>418.02219013574734</v>
      </c>
      <c r="W16" s="11"/>
      <c r="X16" s="76">
        <f t="shared" si="3"/>
        <v>0.64875767961220532</v>
      </c>
      <c r="Y16" s="77"/>
      <c r="Z16" s="76">
        <f t="shared" si="4"/>
        <v>2.9987107888988007E-2</v>
      </c>
      <c r="AB16" s="74">
        <v>60.186881741999997</v>
      </c>
      <c r="AC16" s="2">
        <f t="shared" si="5"/>
        <v>27.854175302976561</v>
      </c>
      <c r="AD16" s="2">
        <f t="shared" si="6"/>
        <v>6.5824039383318989E-3</v>
      </c>
      <c r="AE16" s="57">
        <f t="shared" si="7"/>
        <v>0.18334743321330002</v>
      </c>
      <c r="AG16" s="89"/>
    </row>
    <row r="17" spans="1:33" x14ac:dyDescent="0.2">
      <c r="C17" s="2" t="s">
        <v>1</v>
      </c>
      <c r="D17" s="2" t="s">
        <v>3</v>
      </c>
      <c r="E17" s="2" t="s">
        <v>17</v>
      </c>
      <c r="F17" s="2" t="s">
        <v>52</v>
      </c>
      <c r="G17" s="2" t="s">
        <v>51</v>
      </c>
      <c r="I17" s="56">
        <f t="shared" si="14"/>
        <v>10</v>
      </c>
      <c r="J17" s="19">
        <f t="shared" si="9"/>
        <v>0.56207469421106104</v>
      </c>
      <c r="K17" s="19">
        <f t="shared" si="10"/>
        <v>0.17405259857270308</v>
      </c>
      <c r="L17" s="19">
        <f t="shared" si="11"/>
        <v>0.12911593866483678</v>
      </c>
      <c r="M17" s="19">
        <f t="shared" si="12"/>
        <v>9.3763921326776245E-2</v>
      </c>
      <c r="N17" s="85">
        <f t="shared" si="13"/>
        <v>4.0992847224622452E-2</v>
      </c>
      <c r="O17" s="19"/>
      <c r="P17" s="64">
        <f t="shared" si="0"/>
        <v>0.74081822068171788</v>
      </c>
      <c r="Q17" s="12"/>
      <c r="R17" s="12">
        <v>1</v>
      </c>
      <c r="S17" s="12"/>
      <c r="T17" s="65">
        <f t="shared" si="1"/>
        <v>0.74081822068171788</v>
      </c>
      <c r="V17" s="55">
        <f t="shared" si="2"/>
        <v>424.34300998024236</v>
      </c>
      <c r="W17" s="11"/>
      <c r="X17" s="76">
        <f t="shared" si="3"/>
        <v>0.61541059637100248</v>
      </c>
      <c r="Y17" s="77"/>
      <c r="Z17" s="76">
        <f t="shared" si="4"/>
        <v>3.1548823153091606E-2</v>
      </c>
      <c r="AB17" s="74">
        <v>59.196277100000003</v>
      </c>
      <c r="AC17" s="2">
        <f t="shared" si="5"/>
        <v>27.688901266736913</v>
      </c>
      <c r="AD17" s="2">
        <f t="shared" si="6"/>
        <v>7.1171619519635118E-3</v>
      </c>
      <c r="AE17" s="57">
        <f t="shared" si="7"/>
        <v>0.19706639458729425</v>
      </c>
      <c r="AG17" s="89"/>
    </row>
    <row r="18" spans="1:33" x14ac:dyDescent="0.2">
      <c r="A18" s="112" t="s">
        <v>100</v>
      </c>
      <c r="B18" s="2" t="s">
        <v>1</v>
      </c>
      <c r="C18" s="84" cm="1">
        <f t="array" ref="C18:G22">mP_TxC</f>
        <v>0.94401610461644836</v>
      </c>
      <c r="D18" s="84">
        <v>4.2779849611795248E-2</v>
      </c>
      <c r="E18" s="84">
        <v>2.7609199376632402E-3</v>
      </c>
      <c r="F18" s="84">
        <v>9.9485170055332601E-3</v>
      </c>
      <c r="G18" s="84">
        <v>4.9460882855984205E-4</v>
      </c>
      <c r="I18" s="56">
        <f t="shared" si="14"/>
        <v>11</v>
      </c>
      <c r="J18" s="19">
        <f t="shared" si="9"/>
        <v>0.53060756333260717</v>
      </c>
      <c r="K18" s="19">
        <f t="shared" si="10"/>
        <v>0.1738539307979792</v>
      </c>
      <c r="L18" s="19">
        <f t="shared" si="11"/>
        <v>0.14460809751417683</v>
      </c>
      <c r="M18" s="19">
        <f t="shared" si="12"/>
        <v>0.10233575571925074</v>
      </c>
      <c r="N18" s="85">
        <f t="shared" si="13"/>
        <v>4.8594652635985586E-2</v>
      </c>
      <c r="O18" s="19"/>
      <c r="P18" s="64">
        <f t="shared" si="0"/>
        <v>0.71892373343192617</v>
      </c>
      <c r="Q18" s="12"/>
      <c r="R18" s="12">
        <v>1</v>
      </c>
      <c r="S18" s="12"/>
      <c r="T18" s="65">
        <f t="shared" si="1"/>
        <v>0.71892373343192617</v>
      </c>
      <c r="V18" s="55">
        <f t="shared" si="2"/>
        <v>428.27869630443274</v>
      </c>
      <c r="W18" s="11"/>
      <c r="X18" s="76">
        <f t="shared" si="3"/>
        <v>0.58337445624884321</v>
      </c>
      <c r="Y18" s="77"/>
      <c r="Z18" s="76">
        <f t="shared" si="4"/>
        <v>3.2796798666976872E-2</v>
      </c>
      <c r="AB18" s="74">
        <v>58.207544407999997</v>
      </c>
      <c r="AC18" s="2">
        <f t="shared" si="5"/>
        <v>27.518968418129546</v>
      </c>
      <c r="AD18" s="2">
        <f t="shared" si="6"/>
        <v>7.6018054113631342E-3</v>
      </c>
      <c r="AE18" s="57">
        <f t="shared" si="7"/>
        <v>0.20919384303606836</v>
      </c>
      <c r="AG18" s="89"/>
    </row>
    <row r="19" spans="1:33" x14ac:dyDescent="0.2">
      <c r="A19" s="112"/>
      <c r="B19" s="2" t="s">
        <v>3</v>
      </c>
      <c r="C19" s="84">
        <v>0</v>
      </c>
      <c r="D19" s="84">
        <v>0.86070797642505803</v>
      </c>
      <c r="E19" s="84">
        <v>0.109179777520653</v>
      </c>
      <c r="F19" s="84">
        <v>9.8495952398212992E-3</v>
      </c>
      <c r="G19" s="84">
        <v>2.0262650814467702E-2</v>
      </c>
      <c r="I19" s="56">
        <f t="shared" si="14"/>
        <v>12</v>
      </c>
      <c r="J19" s="19">
        <f t="shared" si="9"/>
        <v>0.50090208501727329</v>
      </c>
      <c r="K19" s="19">
        <f t="shared" si="10"/>
        <v>0.17233677673292083</v>
      </c>
      <c r="L19" s="19">
        <f t="shared" si="11"/>
        <v>0.15938423139382471</v>
      </c>
      <c r="M19" s="19">
        <f t="shared" si="12"/>
        <v>0.11074444608720335</v>
      </c>
      <c r="N19" s="85">
        <f t="shared" si="13"/>
        <v>5.6632460768777412E-2</v>
      </c>
      <c r="O19" s="19"/>
      <c r="P19" s="64">
        <f t="shared" si="0"/>
        <v>0.69767632607103103</v>
      </c>
      <c r="Q19" s="12"/>
      <c r="R19" s="12">
        <v>1</v>
      </c>
      <c r="S19" s="12"/>
      <c r="T19" s="65">
        <f t="shared" si="1"/>
        <v>0.69767632607103103</v>
      </c>
      <c r="V19" s="55">
        <f t="shared" si="2"/>
        <v>429.99938082198781</v>
      </c>
      <c r="W19" s="11"/>
      <c r="X19" s="76">
        <f t="shared" si="3"/>
        <v>0.55264993516621985</v>
      </c>
      <c r="Y19" s="77"/>
      <c r="Z19" s="76">
        <f t="shared" si="4"/>
        <v>3.3754402344917805E-2</v>
      </c>
      <c r="AB19" s="74">
        <v>57.218811715999998</v>
      </c>
      <c r="AC19" s="2">
        <f t="shared" si="5"/>
        <v>27.343919523710113</v>
      </c>
      <c r="AD19" s="2">
        <f t="shared" si="6"/>
        <v>8.0378081327918266E-3</v>
      </c>
      <c r="AE19" s="57">
        <f t="shared" si="7"/>
        <v>0.21978517873008235</v>
      </c>
      <c r="AG19" s="89"/>
    </row>
    <row r="20" spans="1:33" x14ac:dyDescent="0.2">
      <c r="A20" s="112"/>
      <c r="B20" s="2" t="s">
        <v>17</v>
      </c>
      <c r="C20" s="84">
        <v>0</v>
      </c>
      <c r="D20" s="84">
        <v>0</v>
      </c>
      <c r="E20" s="84">
        <v>0.96078943915232318</v>
      </c>
      <c r="F20" s="84">
        <v>9.8026402119192006E-3</v>
      </c>
      <c r="G20" s="84">
        <v>2.94079206357576E-2</v>
      </c>
      <c r="I20" s="56">
        <f t="shared" si="14"/>
        <v>13</v>
      </c>
      <c r="J20" s="19">
        <f t="shared" si="9"/>
        <v>0.47285963509226336</v>
      </c>
      <c r="K20" s="19">
        <f t="shared" si="10"/>
        <v>0.16976015423268292</v>
      </c>
      <c r="L20" s="19">
        <f t="shared" si="11"/>
        <v>0.17333332778626498</v>
      </c>
      <c r="M20" s="19">
        <f t="shared" si="12"/>
        <v>0.11898751276966643</v>
      </c>
      <c r="N20" s="85">
        <f t="shared" si="13"/>
        <v>6.505937011912187E-2</v>
      </c>
      <c r="O20" s="19"/>
      <c r="P20" s="64">
        <f t="shared" si="0"/>
        <v>0.67705687449816465</v>
      </c>
      <c r="Q20" s="12"/>
      <c r="R20" s="12">
        <v>1</v>
      </c>
      <c r="S20" s="12"/>
      <c r="T20" s="65">
        <f t="shared" si="1"/>
        <v>0.67705687449816465</v>
      </c>
      <c r="V20" s="55">
        <f t="shared" si="2"/>
        <v>429.6885384067532</v>
      </c>
      <c r="W20" s="11"/>
      <c r="X20" s="76">
        <f t="shared" si="3"/>
        <v>0.5232284990049294</v>
      </c>
      <c r="Y20" s="77"/>
      <c r="Z20" s="76">
        <f t="shared" si="4"/>
        <v>3.4445762346750973E-2</v>
      </c>
      <c r="AB20" s="74">
        <v>56.230079023999998</v>
      </c>
      <c r="AC20" s="2">
        <f t="shared" si="5"/>
        <v>27.163600558374192</v>
      </c>
      <c r="AD20" s="2">
        <f t="shared" si="6"/>
        <v>8.4269093503444581E-3</v>
      </c>
      <c r="AE20" s="57">
        <f t="shared" si="7"/>
        <v>0.22890519953438543</v>
      </c>
      <c r="AG20" s="89"/>
    </row>
    <row r="21" spans="1:33" x14ac:dyDescent="0.2">
      <c r="A21" s="112"/>
      <c r="B21" s="2" t="s">
        <v>52</v>
      </c>
      <c r="C21" s="84">
        <v>0</v>
      </c>
      <c r="D21" s="84">
        <v>0</v>
      </c>
      <c r="E21" s="84">
        <v>0</v>
      </c>
      <c r="F21" s="84">
        <v>1</v>
      </c>
      <c r="G21" s="84">
        <v>0</v>
      </c>
      <c r="I21" s="56">
        <f t="shared" si="14"/>
        <v>14</v>
      </c>
      <c r="J21" s="19">
        <f t="shared" si="9"/>
        <v>0.44638711075015369</v>
      </c>
      <c r="K21" s="19">
        <f t="shared" si="10"/>
        <v>0.16634278290395368</v>
      </c>
      <c r="L21" s="19">
        <f t="shared" si="11"/>
        <v>0.18637673425540977</v>
      </c>
      <c r="M21" s="19">
        <f t="shared" si="12"/>
        <v>0.12706295794667705</v>
      </c>
      <c r="N21" s="85">
        <f t="shared" si="13"/>
        <v>7.3830414143805367E-2</v>
      </c>
      <c r="O21" s="19"/>
      <c r="P21" s="64">
        <f t="shared" si="0"/>
        <v>0.65704681981505675</v>
      </c>
      <c r="Q21" s="12"/>
      <c r="R21" s="12">
        <v>1</v>
      </c>
      <c r="S21" s="12"/>
      <c r="T21" s="65">
        <f t="shared" si="1"/>
        <v>0.65704681981505675</v>
      </c>
      <c r="V21" s="55">
        <f t="shared" si="2"/>
        <v>427.53578544750002</v>
      </c>
      <c r="W21" s="11"/>
      <c r="X21" s="76">
        <f t="shared" si="3"/>
        <v>0.49509407062976413</v>
      </c>
      <c r="Y21" s="77"/>
      <c r="Z21" s="76">
        <f t="shared" si="4"/>
        <v>3.4895104101554747E-2</v>
      </c>
      <c r="AB21" s="74">
        <v>55.241346331999999</v>
      </c>
      <c r="AC21" s="2">
        <f t="shared" si="5"/>
        <v>26.977852859894536</v>
      </c>
      <c r="AD21" s="2">
        <f t="shared" si="6"/>
        <v>8.771044024683497E-3</v>
      </c>
      <c r="AE21" s="57">
        <f t="shared" si="7"/>
        <v>0.23662393512556856</v>
      </c>
      <c r="AG21" s="89"/>
    </row>
    <row r="22" spans="1:33" x14ac:dyDescent="0.2">
      <c r="A22" s="112"/>
      <c r="B22" s="2" t="s">
        <v>51</v>
      </c>
      <c r="C22" s="84">
        <v>0</v>
      </c>
      <c r="D22" s="84">
        <v>0</v>
      </c>
      <c r="E22" s="84">
        <v>0</v>
      </c>
      <c r="F22" s="84">
        <v>0</v>
      </c>
      <c r="G22" s="84">
        <v>1</v>
      </c>
      <c r="I22" s="56">
        <f t="shared" si="14"/>
        <v>15</v>
      </c>
      <c r="J22" s="19">
        <f t="shared" si="9"/>
        <v>0.4213966214413512</v>
      </c>
      <c r="K22" s="19">
        <f t="shared" si="10"/>
        <v>0.16226893353271007</v>
      </c>
      <c r="L22" s="19">
        <f t="shared" si="11"/>
        <v>0.19846250507990268</v>
      </c>
      <c r="M22" s="19">
        <f t="shared" si="12"/>
        <v>0.13496924086147347</v>
      </c>
      <c r="N22" s="85">
        <f t="shared" si="13"/>
        <v>8.2902699084562104E-2</v>
      </c>
      <c r="O22" s="19"/>
      <c r="P22" s="64">
        <f t="shared" si="0"/>
        <v>0.63762815162177333</v>
      </c>
      <c r="Q22" s="12"/>
      <c r="R22" s="12">
        <v>1</v>
      </c>
      <c r="S22" s="12"/>
      <c r="T22" s="65">
        <f t="shared" si="1"/>
        <v>0.63762815162177333</v>
      </c>
      <c r="V22" s="55">
        <f t="shared" si="2"/>
        <v>423.73138792207584</v>
      </c>
      <c r="W22" s="11"/>
      <c r="X22" s="76">
        <f t="shared" si="3"/>
        <v>0.46822445119996242</v>
      </c>
      <c r="Y22" s="77"/>
      <c r="Z22" s="76">
        <f t="shared" si="4"/>
        <v>3.5126251864139181E-2</v>
      </c>
      <c r="AB22" s="74">
        <v>54.25261364</v>
      </c>
      <c r="AC22" s="2">
        <f t="shared" si="5"/>
        <v>26.786512989314577</v>
      </c>
      <c r="AD22" s="2">
        <f t="shared" si="6"/>
        <v>9.0722849407567363E-3</v>
      </c>
      <c r="AE22" s="57">
        <f t="shared" si="7"/>
        <v>0.24301487840834335</v>
      </c>
      <c r="AG22" s="89"/>
    </row>
    <row r="23" spans="1:33" x14ac:dyDescent="0.2">
      <c r="I23" s="56">
        <f t="shared" si="14"/>
        <v>16</v>
      </c>
      <c r="J23" s="19">
        <f t="shared" si="9"/>
        <v>0.39780519707159651</v>
      </c>
      <c r="K23" s="19">
        <f t="shared" si="10"/>
        <v>0.15769344950977077</v>
      </c>
      <c r="L23" s="19">
        <f t="shared" si="11"/>
        <v>0.20956060734390106</v>
      </c>
      <c r="M23" s="19">
        <f t="shared" si="12"/>
        <v>0.14270525216410615</v>
      </c>
      <c r="N23" s="85">
        <f t="shared" si="13"/>
        <v>9.2235493910625077E-2</v>
      </c>
      <c r="O23" s="19"/>
      <c r="P23" s="64">
        <f t="shared" si="0"/>
        <v>0.61878339180614084</v>
      </c>
      <c r="Q23" s="12"/>
      <c r="R23" s="12">
        <v>1</v>
      </c>
      <c r="S23" s="12"/>
      <c r="T23" s="65">
        <f t="shared" si="1"/>
        <v>0.61878339180614084</v>
      </c>
      <c r="V23" s="55">
        <f t="shared" si="2"/>
        <v>418.46214663621254</v>
      </c>
      <c r="W23" s="11"/>
      <c r="X23" s="76">
        <f t="shared" si="3"/>
        <v>0.44259253101864698</v>
      </c>
      <c r="Y23" s="77"/>
      <c r="Z23" s="76">
        <f t="shared" si="4"/>
        <v>3.5162262369899916E-2</v>
      </c>
      <c r="AB23" s="74">
        <v>53.265569534000001</v>
      </c>
      <c r="AC23" s="2">
        <f t="shared" si="5"/>
        <v>26.589754209190609</v>
      </c>
      <c r="AD23" s="2">
        <f t="shared" si="6"/>
        <v>9.3327948260629734E-3</v>
      </c>
      <c r="AE23" s="57">
        <f t="shared" si="7"/>
        <v>0.24815672050982029</v>
      </c>
      <c r="AG23" s="89"/>
    </row>
    <row r="24" spans="1:33" x14ac:dyDescent="0.2">
      <c r="I24" s="56">
        <f t="shared" si="14"/>
        <v>17</v>
      </c>
      <c r="J24" s="19">
        <f t="shared" si="9"/>
        <v>0.37553451253570708</v>
      </c>
      <c r="K24" s="19">
        <f t="shared" si="10"/>
        <v>0.15274605632855534</v>
      </c>
      <c r="L24" s="19">
        <f t="shared" si="11"/>
        <v>0.21965886243220906</v>
      </c>
      <c r="M24" s="19">
        <f t="shared" si="12"/>
        <v>0.1502702878180884</v>
      </c>
      <c r="N24" s="85">
        <f t="shared" si="13"/>
        <v>0.10179028088543966</v>
      </c>
      <c r="O24" s="19"/>
      <c r="P24" s="64">
        <f t="shared" si="0"/>
        <v>0.6004955788122659</v>
      </c>
      <c r="Q24" s="12"/>
      <c r="R24" s="12">
        <v>1</v>
      </c>
      <c r="S24" s="12"/>
      <c r="T24" s="65">
        <f t="shared" si="1"/>
        <v>0.6004955788122659</v>
      </c>
      <c r="V24" s="55">
        <f t="shared" si="2"/>
        <v>411.90838659853125</v>
      </c>
      <c r="W24" s="11"/>
      <c r="X24" s="76">
        <f t="shared" si="3"/>
        <v>0.41816731999008161</v>
      </c>
      <c r="Y24" s="77"/>
      <c r="Z24" s="76">
        <f t="shared" si="4"/>
        <v>3.5025163990372962E-2</v>
      </c>
      <c r="AB24" s="74">
        <v>52.278525428000002</v>
      </c>
      <c r="AC24" s="2">
        <f t="shared" si="5"/>
        <v>26.387082021408954</v>
      </c>
      <c r="AD24" s="2">
        <f t="shared" si="6"/>
        <v>9.5547869748145858E-3</v>
      </c>
      <c r="AE24" s="57">
        <f t="shared" si="7"/>
        <v>0.25212294760152243</v>
      </c>
      <c r="AG24" s="89"/>
    </row>
    <row r="25" spans="1:33" x14ac:dyDescent="0.2">
      <c r="I25" s="56">
        <f t="shared" si="14"/>
        <v>18</v>
      </c>
      <c r="J25" s="19">
        <f t="shared" si="9"/>
        <v>0.35451062767299502</v>
      </c>
      <c r="K25" s="19">
        <f t="shared" si="10"/>
        <v>0.14753505901977518</v>
      </c>
      <c r="L25" s="19">
        <f t="shared" si="11"/>
        <v>0.22875951641112874</v>
      </c>
      <c r="M25" s="19">
        <f t="shared" si="12"/>
        <v>0.15766402292931214</v>
      </c>
      <c r="N25" s="85">
        <f t="shared" si="13"/>
        <v>0.11153077396678847</v>
      </c>
      <c r="O25" s="19"/>
      <c r="P25" s="64">
        <f t="shared" si="0"/>
        <v>0.58274825237398964</v>
      </c>
      <c r="Q25" s="12"/>
      <c r="R25" s="12">
        <v>1</v>
      </c>
      <c r="S25" s="12"/>
      <c r="T25" s="65">
        <f t="shared" si="1"/>
        <v>0.58274825237398964</v>
      </c>
      <c r="V25" s="55">
        <f t="shared" si="2"/>
        <v>404.24182679378691</v>
      </c>
      <c r="W25" s="11"/>
      <c r="X25" s="76">
        <f t="shared" si="3"/>
        <v>0.39491482336373146</v>
      </c>
      <c r="Y25" s="77"/>
      <c r="Z25" s="76">
        <f t="shared" si="4"/>
        <v>3.4735779622534831E-2</v>
      </c>
      <c r="AB25" s="74">
        <v>51.291481322000003</v>
      </c>
      <c r="AC25" s="2">
        <f t="shared" si="5"/>
        <v>26.178318703836414</v>
      </c>
      <c r="AD25" s="2">
        <f t="shared" si="6"/>
        <v>9.7404930813488055E-3</v>
      </c>
      <c r="AE25" s="57">
        <f t="shared" si="7"/>
        <v>0.25498973221606264</v>
      </c>
      <c r="AG25" s="89"/>
    </row>
    <row r="26" spans="1:33" x14ac:dyDescent="0.2">
      <c r="I26" s="56">
        <f t="shared" si="14"/>
        <v>19</v>
      </c>
      <c r="J26" s="19">
        <f t="shared" si="9"/>
        <v>0.33466374178099284</v>
      </c>
      <c r="K26" s="19">
        <f t="shared" si="10"/>
        <v>0.14215051343829607</v>
      </c>
      <c r="L26" s="19">
        <f t="shared" si="11"/>
        <v>0.2368763478537364</v>
      </c>
      <c r="M26" s="19">
        <f t="shared" si="12"/>
        <v>0.16488648578681805</v>
      </c>
      <c r="N26" s="85">
        <f t="shared" si="13"/>
        <v>0.12142291114015617</v>
      </c>
      <c r="O26" s="19"/>
      <c r="P26" s="64">
        <f t="shared" si="0"/>
        <v>0.56552543869953709</v>
      </c>
      <c r="Q26" s="12"/>
      <c r="R26" s="12">
        <v>1</v>
      </c>
      <c r="S26" s="12"/>
      <c r="T26" s="65">
        <f t="shared" si="1"/>
        <v>0.56552543869953709</v>
      </c>
      <c r="V26" s="55">
        <f t="shared" si="2"/>
        <v>395.62414739549484</v>
      </c>
      <c r="W26" s="11"/>
      <c r="X26" s="76">
        <f t="shared" si="3"/>
        <v>0.37279878471742633</v>
      </c>
      <c r="Y26" s="77"/>
      <c r="Z26" s="76">
        <f t="shared" si="4"/>
        <v>3.4313615539209801E-2</v>
      </c>
      <c r="AB26" s="74">
        <v>50.304437215999997</v>
      </c>
      <c r="AC26" s="2">
        <f t="shared" si="5"/>
        <v>25.963281193061409</v>
      </c>
      <c r="AD26" s="2">
        <f t="shared" si="6"/>
        <v>9.8921371733677044E-3</v>
      </c>
      <c r="AE26" s="57">
        <f t="shared" si="7"/>
        <v>0.25683233903248137</v>
      </c>
      <c r="AG26" s="89"/>
    </row>
    <row r="27" spans="1:33" x14ac:dyDescent="0.2">
      <c r="I27" s="56">
        <f t="shared" si="14"/>
        <v>20</v>
      </c>
      <c r="J27" s="19">
        <f t="shared" si="9"/>
        <v>0.31592796187245781</v>
      </c>
      <c r="K27" s="19">
        <f t="shared" si="10"/>
        <v>0.13666694531317039</v>
      </c>
      <c r="L27" s="19">
        <f t="shared" si="11"/>
        <v>0.24403223463157789</v>
      </c>
      <c r="M27" s="19">
        <f t="shared" si="12"/>
        <v>0.17193803234628524</v>
      </c>
      <c r="N27" s="85">
        <f t="shared" si="13"/>
        <v>0.1314348258365082</v>
      </c>
      <c r="O27" s="19"/>
      <c r="P27" s="64">
        <f t="shared" si="0"/>
        <v>0.54881163609402639</v>
      </c>
      <c r="Q27" s="12"/>
      <c r="R27" s="12">
        <v>1</v>
      </c>
      <c r="S27" s="12"/>
      <c r="T27" s="65">
        <f t="shared" si="1"/>
        <v>0.54881163609402639</v>
      </c>
      <c r="V27" s="55">
        <f t="shared" si="2"/>
        <v>386.20610516373773</v>
      </c>
      <c r="W27" s="11"/>
      <c r="X27" s="76">
        <f t="shared" si="3"/>
        <v>0.35178131496577403</v>
      </c>
      <c r="Y27" s="77"/>
      <c r="Z27" s="76">
        <f t="shared" si="4"/>
        <v>3.3776801727256632E-2</v>
      </c>
      <c r="AB27" s="74">
        <v>49.317393109999998</v>
      </c>
      <c r="AC27" s="2">
        <f t="shared" si="5"/>
        <v>25.741780923866642</v>
      </c>
      <c r="AD27" s="2">
        <f t="shared" si="6"/>
        <v>1.0011914696352028E-2</v>
      </c>
      <c r="AE27" s="57">
        <f t="shared" si="7"/>
        <v>0.25772451474193475</v>
      </c>
      <c r="AG27" s="89"/>
    </row>
    <row r="28" spans="1:33" x14ac:dyDescent="0.2">
      <c r="I28" s="56">
        <f t="shared" si="14"/>
        <v>21</v>
      </c>
      <c r="J28" s="19">
        <f t="shared" si="9"/>
        <v>0.29824108390625143</v>
      </c>
      <c r="K28" s="19">
        <f t="shared" si="10"/>
        <v>0.13114568064175769</v>
      </c>
      <c r="L28" s="19">
        <f t="shared" si="11"/>
        <v>0.25025711233928005</v>
      </c>
      <c r="M28" s="19">
        <f t="shared" si="12"/>
        <v>0.17881932133769837</v>
      </c>
      <c r="N28" s="85">
        <f t="shared" si="13"/>
        <v>0.14153680177501199</v>
      </c>
      <c r="O28" s="19"/>
      <c r="P28" s="64">
        <f t="shared" si="0"/>
        <v>0.53259180100689718</v>
      </c>
      <c r="Q28" s="12"/>
      <c r="R28" s="12">
        <v>1</v>
      </c>
      <c r="S28" s="12"/>
      <c r="T28" s="65">
        <f t="shared" si="1"/>
        <v>0.53259180100689718</v>
      </c>
      <c r="V28" s="55">
        <f t="shared" si="2"/>
        <v>376.12707560136408</v>
      </c>
      <c r="W28" s="11"/>
      <c r="X28" s="76">
        <f t="shared" si="3"/>
        <v>0.33182342348723531</v>
      </c>
      <c r="Y28" s="77"/>
      <c r="Z28" s="76">
        <f t="shared" si="4"/>
        <v>3.3142071962291936E-2</v>
      </c>
      <c r="AB28" s="74">
        <v>48.340578602000001</v>
      </c>
      <c r="AC28" s="2">
        <f t="shared" si="5"/>
        <v>25.516023070275882</v>
      </c>
      <c r="AD28" s="2">
        <f t="shared" si="6"/>
        <v>1.0101975938503788E-2</v>
      </c>
      <c r="AE28" s="57">
        <f t="shared" si="7"/>
        <v>0.2577622511022345</v>
      </c>
      <c r="AG28" s="89"/>
    </row>
    <row r="29" spans="1:33" x14ac:dyDescent="0.2">
      <c r="I29" s="56">
        <f t="shared" si="14"/>
        <v>22</v>
      </c>
      <c r="J29" s="19">
        <f t="shared" si="9"/>
        <v>0.28154438626576678</v>
      </c>
      <c r="K29" s="19">
        <f t="shared" si="10"/>
        <v>0.12563684211962242</v>
      </c>
      <c r="L29" s="19">
        <f t="shared" si="11"/>
        <v>0.25558626659838557</v>
      </c>
      <c r="M29" s="19">
        <f t="shared" si="12"/>
        <v>0.18553129013719638</v>
      </c>
      <c r="N29" s="85">
        <f t="shared" si="13"/>
        <v>0.15170121487902832</v>
      </c>
      <c r="O29" s="19"/>
      <c r="P29" s="64">
        <f t="shared" si="0"/>
        <v>0.51685133449169929</v>
      </c>
      <c r="Q29" s="12"/>
      <c r="R29" s="12">
        <v>1</v>
      </c>
      <c r="S29" s="12"/>
      <c r="T29" s="65">
        <f t="shared" si="1"/>
        <v>0.51685133449169929</v>
      </c>
      <c r="V29" s="55">
        <f t="shared" si="2"/>
        <v>365.51492338913039</v>
      </c>
      <c r="W29" s="11"/>
      <c r="X29" s="76">
        <f t="shared" si="3"/>
        <v>0.31288546517071675</v>
      </c>
      <c r="Y29" s="77"/>
      <c r="Z29" s="76">
        <f t="shared" si="4"/>
        <v>3.2424774111654273E-2</v>
      </c>
      <c r="AB29" s="74">
        <v>47.363764093999997</v>
      </c>
      <c r="AC29" s="2">
        <f t="shared" si="5"/>
        <v>25.283551621664117</v>
      </c>
      <c r="AD29" s="2">
        <f t="shared" si="6"/>
        <v>1.0164413104016334E-2</v>
      </c>
      <c r="AE29" s="57">
        <f t="shared" si="7"/>
        <v>0.2569924634193162</v>
      </c>
      <c r="AG29" s="89"/>
    </row>
    <row r="30" spans="1:33" x14ac:dyDescent="0.2">
      <c r="I30" s="56">
        <f t="shared" si="14"/>
        <v>23</v>
      </c>
      <c r="J30" s="19">
        <f t="shared" si="9"/>
        <v>0.26578243479923785</v>
      </c>
      <c r="K30" s="19">
        <f t="shared" si="10"/>
        <v>0.1201810586487094</v>
      </c>
      <c r="L30" s="19">
        <f t="shared" si="11"/>
        <v>0.26005890972049511</v>
      </c>
      <c r="M30" s="19">
        <f t="shared" si="12"/>
        <v>0.19207513150843303</v>
      </c>
      <c r="N30" s="85">
        <f t="shared" si="13"/>
        <v>0.16190246532312405</v>
      </c>
      <c r="O30" s="19"/>
      <c r="P30" s="64">
        <f t="shared" si="0"/>
        <v>0.50157606906605556</v>
      </c>
      <c r="Q30" s="12"/>
      <c r="R30" s="12">
        <v>1</v>
      </c>
      <c r="S30" s="12"/>
      <c r="T30" s="65">
        <f t="shared" si="1"/>
        <v>0.50157606906605556</v>
      </c>
      <c r="V30" s="55">
        <f t="shared" si="2"/>
        <v>354.48612151798886</v>
      </c>
      <c r="W30" s="11"/>
      <c r="X30" s="76">
        <f t="shared" si="3"/>
        <v>0.29492751522853095</v>
      </c>
      <c r="Y30" s="77"/>
      <c r="Z30" s="76">
        <f t="shared" si="4"/>
        <v>3.1638903002789688E-2</v>
      </c>
      <c r="AB30" s="74">
        <v>46.386949586</v>
      </c>
      <c r="AC30" s="2">
        <f t="shared" si="5"/>
        <v>25.044166928905561</v>
      </c>
      <c r="AD30" s="2">
        <f t="shared" si="6"/>
        <v>1.0201250444095727E-2</v>
      </c>
      <c r="AE30" s="57">
        <f t="shared" si="7"/>
        <v>0.25548181900550537</v>
      </c>
      <c r="AG30" s="89"/>
    </row>
    <row r="31" spans="1:33" x14ac:dyDescent="0.2">
      <c r="I31" s="56">
        <f t="shared" si="14"/>
        <v>24</v>
      </c>
      <c r="J31" s="19">
        <f t="shared" si="9"/>
        <v>0.25090289877465166</v>
      </c>
      <c r="K31" s="19">
        <f t="shared" si="10"/>
        <v>0.11481092838432005</v>
      </c>
      <c r="L31" s="19">
        <f t="shared" si="11"/>
        <v>0.26371699928569969</v>
      </c>
      <c r="M31" s="19">
        <f t="shared" si="12"/>
        <v>0.19845227128988227</v>
      </c>
      <c r="N31" s="85">
        <f t="shared" si="13"/>
        <v>0.17211690226544571</v>
      </c>
      <c r="O31" s="19"/>
      <c r="P31" s="64">
        <f t="shared" si="0"/>
        <v>0.48675225595997168</v>
      </c>
      <c r="Q31" s="12"/>
      <c r="R31" s="12">
        <v>1</v>
      </c>
      <c r="S31" s="12"/>
      <c r="T31" s="65">
        <f t="shared" si="1"/>
        <v>0.48675225595997168</v>
      </c>
      <c r="V31" s="55">
        <f t="shared" si="2"/>
        <v>343.14605507590812</v>
      </c>
      <c r="W31" s="11"/>
      <c r="X31" s="76">
        <f t="shared" si="3"/>
        <v>0.27790968195523519</v>
      </c>
      <c r="Y31" s="77"/>
      <c r="Z31" s="76">
        <f t="shared" si="4"/>
        <v>3.0797149710218897E-2</v>
      </c>
      <c r="AB31" s="74">
        <v>45.410135078000003</v>
      </c>
      <c r="AC31" s="2">
        <f t="shared" si="5"/>
        <v>24.797663405701709</v>
      </c>
      <c r="AD31" s="2">
        <f t="shared" si="6"/>
        <v>1.0214436942321659E-2</v>
      </c>
      <c r="AE31" s="57">
        <f t="shared" si="7"/>
        <v>0.25329416917445746</v>
      </c>
      <c r="AG31" s="89"/>
    </row>
    <row r="32" spans="1:33" x14ac:dyDescent="0.2">
      <c r="I32" s="56">
        <f t="shared" si="14"/>
        <v>25</v>
      </c>
      <c r="J32" s="19">
        <f t="shared" si="9"/>
        <v>0.23685637713822172</v>
      </c>
      <c r="K32" s="19">
        <f t="shared" si="10"/>
        <v>0.10955227011789347</v>
      </c>
      <c r="L32" s="19">
        <f t="shared" si="11"/>
        <v>0.26660426227222517</v>
      </c>
      <c r="M32" s="19">
        <f t="shared" si="12"/>
        <v>0.20466434708053782</v>
      </c>
      <c r="N32" s="85">
        <f t="shared" si="13"/>
        <v>0.18232274339112126</v>
      </c>
      <c r="O32" s="19"/>
      <c r="P32" s="64">
        <f t="shared" si="0"/>
        <v>0.47236655274101469</v>
      </c>
      <c r="Q32" s="12"/>
      <c r="R32" s="12">
        <v>1</v>
      </c>
      <c r="S32" s="12"/>
      <c r="T32" s="65">
        <f t="shared" si="1"/>
        <v>0.47236655274101469</v>
      </c>
      <c r="V32" s="55">
        <f t="shared" si="2"/>
        <v>331.58945840260338</v>
      </c>
      <c r="W32" s="11"/>
      <c r="X32" s="76">
        <f t="shared" si="3"/>
        <v>0.26179236618749607</v>
      </c>
      <c r="Y32" s="77"/>
      <c r="Z32" s="76">
        <f t="shared" si="4"/>
        <v>2.9910962357285711E-2</v>
      </c>
      <c r="AB32" s="74">
        <v>44.433320569999999</v>
      </c>
      <c r="AC32" s="2">
        <f t="shared" si="5"/>
        <v>24.543829352021412</v>
      </c>
      <c r="AD32" s="2">
        <f t="shared" si="6"/>
        <v>1.0205841125675547E-2</v>
      </c>
      <c r="AE32" s="57">
        <f t="shared" si="7"/>
        <v>0.25049042298242274</v>
      </c>
      <c r="AG32" s="89"/>
    </row>
    <row r="33" spans="9:33" x14ac:dyDescent="0.2">
      <c r="I33" s="56">
        <f t="shared" si="14"/>
        <v>26</v>
      </c>
      <c r="J33" s="19">
        <f t="shared" si="9"/>
        <v>0.22359623449958846</v>
      </c>
      <c r="K33" s="19">
        <f t="shared" si="10"/>
        <v>0.10442519291951122</v>
      </c>
      <c r="L33" s="19">
        <f t="shared" si="11"/>
        <v>0.26876539359650775</v>
      </c>
      <c r="M33" s="19">
        <f t="shared" si="12"/>
        <v>0.21071318795665001</v>
      </c>
      <c r="N33" s="85">
        <f t="shared" si="13"/>
        <v>0.19249999102774193</v>
      </c>
      <c r="O33" s="19"/>
      <c r="P33" s="64">
        <f t="shared" si="0"/>
        <v>0.45840601130522352</v>
      </c>
      <c r="Q33" s="12"/>
      <c r="R33" s="12">
        <v>1</v>
      </c>
      <c r="S33" s="12"/>
      <c r="T33" s="65">
        <f t="shared" si="1"/>
        <v>0.45840601130522352</v>
      </c>
      <c r="V33" s="55">
        <f t="shared" si="2"/>
        <v>319.90094477687467</v>
      </c>
      <c r="W33" s="11"/>
      <c r="X33" s="76">
        <f t="shared" si="3"/>
        <v>0.24653647500189765</v>
      </c>
      <c r="Y33" s="77"/>
      <c r="Z33" s="76">
        <f t="shared" si="4"/>
        <v>2.8990614546024324E-2</v>
      </c>
      <c r="AB33" s="74">
        <v>43.473604029999997</v>
      </c>
      <c r="AC33" s="2">
        <f t="shared" si="5"/>
        <v>24.287088134884517</v>
      </c>
      <c r="AD33" s="2">
        <f t="shared" si="6"/>
        <v>1.0177247636620673E-2</v>
      </c>
      <c r="AE33" s="57">
        <f t="shared" si="7"/>
        <v>0.24717571032115143</v>
      </c>
      <c r="AG33" s="89"/>
    </row>
    <row r="34" spans="9:33" x14ac:dyDescent="0.2">
      <c r="I34" s="56">
        <f t="shared" si="14"/>
        <v>27</v>
      </c>
      <c r="J34" s="19">
        <f t="shared" si="9"/>
        <v>0.21107844629920741</v>
      </c>
      <c r="K34" s="19">
        <f t="shared" si="10"/>
        <v>9.9445009771204906E-2</v>
      </c>
      <c r="L34" s="19">
        <f t="shared" si="11"/>
        <v>0.27024540240946188</v>
      </c>
      <c r="M34" s="19">
        <f t="shared" si="12"/>
        <v>0.21660079523588122</v>
      </c>
      <c r="N34" s="85">
        <f t="shared" si="13"/>
        <v>0.2026303462842439</v>
      </c>
      <c r="O34" s="19"/>
      <c r="P34" s="64">
        <f t="shared" si="0"/>
        <v>0.44485806622294116</v>
      </c>
      <c r="Q34" s="12"/>
      <c r="R34" s="12">
        <v>1</v>
      </c>
      <c r="S34" s="12"/>
      <c r="T34" s="65">
        <f t="shared" si="1"/>
        <v>0.44485806622294116</v>
      </c>
      <c r="V34" s="55">
        <f t="shared" si="2"/>
        <v>308.1555963458693</v>
      </c>
      <c r="W34" s="11"/>
      <c r="X34" s="76">
        <f t="shared" si="3"/>
        <v>0.23210359614444206</v>
      </c>
      <c r="Y34" s="77"/>
      <c r="Z34" s="76">
        <f t="shared" si="4"/>
        <v>2.8045278358827683E-2</v>
      </c>
      <c r="AB34" s="74">
        <v>42.513887490000002</v>
      </c>
      <c r="AC34" s="2">
        <f t="shared" si="5"/>
        <v>24.022847512466388</v>
      </c>
      <c r="AD34" s="2">
        <f t="shared" si="6"/>
        <v>1.0130355256501966E-2</v>
      </c>
      <c r="AE34" s="57">
        <f t="shared" si="7"/>
        <v>0.24335997957405905</v>
      </c>
      <c r="AG34" s="89"/>
    </row>
    <row r="35" spans="9:33" x14ac:dyDescent="0.2">
      <c r="I35" s="56">
        <f t="shared" si="14"/>
        <v>28</v>
      </c>
      <c r="J35" s="19">
        <f t="shared" si="9"/>
        <v>0.19926145264386996</v>
      </c>
      <c r="K35" s="19">
        <f t="shared" si="10"/>
        <v>9.4623017314715396E-2</v>
      </c>
      <c r="L35" s="19">
        <f t="shared" si="11"/>
        <v>0.27108908334763854</v>
      </c>
      <c r="M35" s="19">
        <f t="shared" si="12"/>
        <v>0.22232932429200214</v>
      </c>
      <c r="N35" s="85">
        <f t="shared" si="13"/>
        <v>0.21269712240177327</v>
      </c>
      <c r="O35" s="19"/>
      <c r="P35" s="64">
        <f t="shared" si="0"/>
        <v>0.43171052342907973</v>
      </c>
      <c r="Q35" s="12"/>
      <c r="R35" s="12">
        <v>1</v>
      </c>
      <c r="S35" s="12"/>
      <c r="T35" s="65">
        <f t="shared" si="1"/>
        <v>0.43171052342907973</v>
      </c>
      <c r="V35" s="55">
        <f t="shared" si="2"/>
        <v>296.41958897424257</v>
      </c>
      <c r="W35" s="11"/>
      <c r="X35" s="76">
        <f t="shared" si="3"/>
        <v>0.21845613879116457</v>
      </c>
      <c r="Y35" s="77"/>
      <c r="Z35" s="76">
        <f t="shared" si="4"/>
        <v>2.7083099551647921E-2</v>
      </c>
      <c r="AB35" s="74">
        <v>41.55417095</v>
      </c>
      <c r="AC35" s="2">
        <f t="shared" si="5"/>
        <v>23.75088842730441</v>
      </c>
      <c r="AD35" s="2">
        <f t="shared" si="6"/>
        <v>1.0066776117529375E-2</v>
      </c>
      <c r="AE35" s="57">
        <f t="shared" si="7"/>
        <v>0.23909487639009286</v>
      </c>
      <c r="AG35" s="89"/>
    </row>
    <row r="36" spans="9:33" x14ac:dyDescent="0.2">
      <c r="I36" s="56">
        <f t="shared" si="14"/>
        <v>29</v>
      </c>
      <c r="J36" s="19">
        <f t="shared" si="9"/>
        <v>0.18810602032508103</v>
      </c>
      <c r="K36" s="19">
        <f t="shared" si="10"/>
        <v>8.9967160733714524E-2</v>
      </c>
      <c r="L36" s="19">
        <f t="shared" si="11"/>
        <v>0.27134059324606075</v>
      </c>
      <c r="M36" s="19">
        <f t="shared" si="12"/>
        <v>0.22790106741253335</v>
      </c>
      <c r="N36" s="85">
        <f t="shared" si="13"/>
        <v>0.22268515828260962</v>
      </c>
      <c r="O36" s="19"/>
      <c r="P36" s="64">
        <f t="shared" si="0"/>
        <v>0.418951549247639</v>
      </c>
      <c r="Q36" s="12"/>
      <c r="R36" s="12">
        <v>1</v>
      </c>
      <c r="S36" s="12"/>
      <c r="T36" s="65">
        <f t="shared" si="1"/>
        <v>0.418951549247639</v>
      </c>
      <c r="V36" s="55">
        <f t="shared" si="2"/>
        <v>284.75083235872239</v>
      </c>
      <c r="W36" s="11"/>
      <c r="X36" s="76">
        <f t="shared" si="3"/>
        <v>0.20555744547163005</v>
      </c>
      <c r="Y36" s="77"/>
      <c r="Z36" s="76">
        <f t="shared" si="4"/>
        <v>2.6111273107205679E-2</v>
      </c>
      <c r="AB36" s="74">
        <v>40.594454409999997</v>
      </c>
      <c r="AC36" s="2">
        <f t="shared" si="5"/>
        <v>23.470985423272339</v>
      </c>
      <c r="AD36" s="2">
        <f t="shared" si="6"/>
        <v>9.9880358808363545E-3</v>
      </c>
      <c r="AE36" s="57">
        <f t="shared" si="7"/>
        <v>0.23442904456623118</v>
      </c>
      <c r="AG36" s="89"/>
    </row>
    <row r="37" spans="9:33" x14ac:dyDescent="0.2">
      <c r="I37" s="56">
        <f t="shared" si="14"/>
        <v>30</v>
      </c>
      <c r="J37" s="19">
        <f t="shared" si="9"/>
        <v>0.17757511256218544</v>
      </c>
      <c r="K37" s="19">
        <f t="shared" si="10"/>
        <v>8.5482600120403637E-2</v>
      </c>
      <c r="L37" s="19">
        <f t="shared" si="11"/>
        <v>0.27104311665912317</v>
      </c>
      <c r="M37" s="19">
        <f t="shared" si="12"/>
        <v>0.23331843768316349</v>
      </c>
      <c r="N37" s="85">
        <f t="shared" si="13"/>
        <v>0.23258073297512355</v>
      </c>
      <c r="O37" s="19"/>
      <c r="P37" s="64">
        <f t="shared" si="0"/>
        <v>0.40656965974059917</v>
      </c>
      <c r="Q37" s="12"/>
      <c r="R37" s="12">
        <v>1</v>
      </c>
      <c r="S37" s="12"/>
      <c r="T37" s="65">
        <f t="shared" si="1"/>
        <v>0.40656965974059917</v>
      </c>
      <c r="V37" s="55">
        <f t="shared" si="2"/>
        <v>273.19961034815827</v>
      </c>
      <c r="W37" s="11"/>
      <c r="X37" s="76">
        <f t="shared" si="3"/>
        <v>0.19337187932737079</v>
      </c>
      <c r="Y37" s="77"/>
      <c r="Z37" s="76">
        <f t="shared" si="4"/>
        <v>2.5136117760533181E-2</v>
      </c>
      <c r="AB37" s="74">
        <v>39.634737870000002</v>
      </c>
      <c r="AC37" s="2">
        <f t="shared" si="5"/>
        <v>23.182906458675454</v>
      </c>
      <c r="AD37" s="2">
        <f t="shared" si="6"/>
        <v>9.8955746925139254E-3</v>
      </c>
      <c r="AE37" s="57">
        <f t="shared" si="7"/>
        <v>0.22940818245138644</v>
      </c>
      <c r="AG37" s="89"/>
    </row>
    <row r="38" spans="9:33" x14ac:dyDescent="0.2">
      <c r="I38" s="56">
        <f t="shared" si="14"/>
        <v>31</v>
      </c>
      <c r="J38" s="19">
        <f t="shared" si="9"/>
        <v>0.16763376603778166</v>
      </c>
      <c r="K38" s="19">
        <f t="shared" si="10"/>
        <v>8.1172192379392938E-2</v>
      </c>
      <c r="L38" s="19">
        <f t="shared" si="11"/>
        <v>0.27023860597275501</v>
      </c>
      <c r="M38" s="19">
        <f t="shared" si="12"/>
        <v>0.23858395387600798</v>
      </c>
      <c r="N38" s="85">
        <f t="shared" si="13"/>
        <v>0.2423714817340617</v>
      </c>
      <c r="O38" s="19"/>
      <c r="P38" s="64">
        <f t="shared" si="0"/>
        <v>0.39455371037160114</v>
      </c>
      <c r="Q38" s="12"/>
      <c r="R38" s="12">
        <v>1</v>
      </c>
      <c r="S38" s="12"/>
      <c r="T38" s="65">
        <f t="shared" si="1"/>
        <v>0.39455371037160114</v>
      </c>
      <c r="V38" s="55">
        <f t="shared" si="2"/>
        <v>261.80921012012908</v>
      </c>
      <c r="W38" s="11"/>
      <c r="X38" s="76">
        <f t="shared" si="3"/>
        <v>0.1818648903097039</v>
      </c>
      <c r="Y38" s="77"/>
      <c r="Z38" s="76">
        <f t="shared" si="4"/>
        <v>2.4163148466715852E-2</v>
      </c>
      <c r="AB38" s="74">
        <v>38.690766486000001</v>
      </c>
      <c r="AC38" s="2">
        <f t="shared" si="5"/>
        <v>22.89134620046298</v>
      </c>
      <c r="AD38" s="2">
        <f t="shared" si="6"/>
        <v>9.7907487589381503E-3</v>
      </c>
      <c r="AE38" s="57">
        <f t="shared" si="7"/>
        <v>0.22412341940260647</v>
      </c>
      <c r="AG38" s="89"/>
    </row>
    <row r="39" spans="9:33" x14ac:dyDescent="0.2">
      <c r="I39" s="56">
        <f t="shared" si="14"/>
        <v>32</v>
      </c>
      <c r="J39" s="19">
        <f t="shared" si="9"/>
        <v>0.15824897481717171</v>
      </c>
      <c r="K39" s="19">
        <f t="shared" si="10"/>
        <v>7.703690074580799E-2</v>
      </c>
      <c r="L39" s="19">
        <f t="shared" si="11"/>
        <v>0.26896758398159398</v>
      </c>
      <c r="M39" s="19">
        <f t="shared" si="12"/>
        <v>0.24370022631352387</v>
      </c>
      <c r="N39" s="85">
        <f t="shared" si="13"/>
        <v>0.25204631414190171</v>
      </c>
      <c r="O39" s="19"/>
      <c r="P39" s="64">
        <f t="shared" ref="P39:P66" si="15">EXP(-r_Delta_t * I39)</f>
        <v>0.38289288597511206</v>
      </c>
      <c r="Q39" s="12"/>
      <c r="R39" s="12">
        <v>1</v>
      </c>
      <c r="S39" s="12"/>
      <c r="T39" s="65">
        <f t="shared" si="1"/>
        <v>0.38289288597511206</v>
      </c>
      <c r="V39" s="55">
        <f t="shared" si="2"/>
        <v>250.61653184965976</v>
      </c>
      <c r="W39" s="11"/>
      <c r="X39" s="76">
        <f t="shared" si="3"/>
        <v>0.17100306343240604</v>
      </c>
      <c r="Y39" s="77"/>
      <c r="Z39" s="76">
        <f t="shared" si="4"/>
        <v>2.3197146067338362E-2</v>
      </c>
      <c r="AB39" s="74">
        <v>37.746795102</v>
      </c>
      <c r="AC39" s="2">
        <f t="shared" si="5"/>
        <v>22.591411182723778</v>
      </c>
      <c r="AD39" s="2">
        <f t="shared" si="6"/>
        <v>9.6748324078400061E-3</v>
      </c>
      <c r="AE39" s="57">
        <f t="shared" si="7"/>
        <v>0.21856811704945514</v>
      </c>
      <c r="AG39" s="89"/>
    </row>
    <row r="40" spans="9:33" x14ac:dyDescent="0.2">
      <c r="I40" s="56">
        <f t="shared" si="14"/>
        <v>33</v>
      </c>
      <c r="J40" s="19">
        <f t="shared" si="9"/>
        <v>0.14938958076645287</v>
      </c>
      <c r="K40" s="19">
        <f t="shared" si="10"/>
        <v>7.3076142294881824E-2</v>
      </c>
      <c r="L40" s="19">
        <f t="shared" si="11"/>
        <v>0.26726899859782649</v>
      </c>
      <c r="M40" s="19">
        <f t="shared" si="12"/>
        <v>0.24866994367591794</v>
      </c>
      <c r="N40" s="85">
        <f t="shared" si="13"/>
        <v>0.26159533466492013</v>
      </c>
      <c r="O40" s="19"/>
      <c r="P40" s="64">
        <f t="shared" si="15"/>
        <v>0.37157669102204571</v>
      </c>
      <c r="Q40" s="12"/>
      <c r="R40" s="12">
        <v>1</v>
      </c>
      <c r="S40" s="12"/>
      <c r="T40" s="65">
        <f t="shared" si="1"/>
        <v>0.37157669102204571</v>
      </c>
      <c r="V40" s="55">
        <f t="shared" si="2"/>
        <v>239.65267289369297</v>
      </c>
      <c r="W40" s="11"/>
      <c r="X40" s="76">
        <f t="shared" si="3"/>
        <v>0.16075415177303307</v>
      </c>
      <c r="Y40" s="77"/>
      <c r="Z40" s="76">
        <f t="shared" si="4"/>
        <v>2.2242223640649261E-2</v>
      </c>
      <c r="AB40" s="74">
        <v>36.802823717999999</v>
      </c>
      <c r="AC40" s="2">
        <f t="shared" si="5"/>
        <v>22.282860849362983</v>
      </c>
      <c r="AD40" s="2">
        <f t="shared" ref="AD40:AD66" si="16">N40-N39</f>
        <v>9.5490205230184255E-3</v>
      </c>
      <c r="AE40" s="57">
        <f t="shared" si="7"/>
        <v>0.21277949556213091</v>
      </c>
      <c r="AG40" s="89"/>
    </row>
    <row r="41" spans="9:33" x14ac:dyDescent="0.2">
      <c r="I41" s="56">
        <f t="shared" si="14"/>
        <v>34</v>
      </c>
      <c r="J41" s="19">
        <f t="shared" si="9"/>
        <v>0.14102617010543114</v>
      </c>
      <c r="K41" s="19">
        <f t="shared" si="10"/>
        <v>6.9288082358335334E-2</v>
      </c>
      <c r="L41" s="19">
        <f t="shared" si="11"/>
        <v>0.26518012089544879</v>
      </c>
      <c r="M41" s="19">
        <f t="shared" si="12"/>
        <v>0.25349586071696906</v>
      </c>
      <c r="N41" s="85">
        <f t="shared" si="13"/>
        <v>0.27100976592381493</v>
      </c>
      <c r="O41" s="19"/>
      <c r="P41" s="64">
        <f t="shared" si="15"/>
        <v>0.3605949401730783</v>
      </c>
      <c r="Q41" s="12"/>
      <c r="R41" s="12">
        <v>1</v>
      </c>
      <c r="S41" s="12"/>
      <c r="T41" s="65">
        <f t="shared" si="1"/>
        <v>0.3605949401730783</v>
      </c>
      <c r="V41" s="55">
        <f t="shared" si="2"/>
        <v>228.94348241448088</v>
      </c>
      <c r="W41" s="11"/>
      <c r="X41" s="76">
        <f t="shared" si="3"/>
        <v>0.15108709655258923</v>
      </c>
      <c r="Y41" s="77"/>
      <c r="Z41" s="76">
        <f t="shared" si="4"/>
        <v>2.1301889201400942E-2</v>
      </c>
      <c r="AB41" s="74">
        <v>35.858852333999998</v>
      </c>
      <c r="AC41" s="2">
        <f t="shared" si="5"/>
        <v>21.965447734566784</v>
      </c>
      <c r="AD41" s="2">
        <f t="shared" si="16"/>
        <v>9.4144312588947954E-3</v>
      </c>
      <c r="AE41" s="57">
        <f t="shared" si="7"/>
        <v>0.2067921977679254</v>
      </c>
      <c r="AG41" s="89"/>
    </row>
    <row r="42" spans="9:33" x14ac:dyDescent="0.2">
      <c r="I42" s="56">
        <f t="shared" si="14"/>
        <v>35</v>
      </c>
      <c r="J42" s="19">
        <f t="shared" si="9"/>
        <v>0.13313097575190572</v>
      </c>
      <c r="K42" s="19">
        <f t="shared" si="10"/>
        <v>6.5669883505453372E-2</v>
      </c>
      <c r="L42" s="19">
        <f t="shared" si="11"/>
        <v>0.26273647901097558</v>
      </c>
      <c r="M42" s="19">
        <f t="shared" si="12"/>
        <v>0.25818078685115248</v>
      </c>
      <c r="N42" s="85">
        <f t="shared" si="13"/>
        <v>0.28028187488051204</v>
      </c>
      <c r="O42" s="19"/>
      <c r="P42" s="64">
        <f t="shared" si="15"/>
        <v>0.34993774911115533</v>
      </c>
      <c r="Q42" s="12"/>
      <c r="R42" s="12">
        <v>1</v>
      </c>
      <c r="S42" s="12"/>
      <c r="T42" s="65">
        <f t="shared" si="1"/>
        <v>0.34993774911115533</v>
      </c>
      <c r="V42" s="55">
        <f t="shared" si="2"/>
        <v>218.51008386517077</v>
      </c>
      <c r="W42" s="11"/>
      <c r="X42" s="76">
        <f t="shared" si="3"/>
        <v>0.1419720363085622</v>
      </c>
      <c r="Y42" s="77"/>
      <c r="Z42" s="76">
        <f t="shared" si="4"/>
        <v>2.0379104558434849E-2</v>
      </c>
      <c r="AB42" s="74">
        <v>34.914880949999997</v>
      </c>
      <c r="AC42" s="2">
        <f t="shared" si="5"/>
        <v>21.638917264328018</v>
      </c>
      <c r="AD42" s="2">
        <f t="shared" si="16"/>
        <v>9.2721089566971115E-3</v>
      </c>
      <c r="AE42" s="57">
        <f t="shared" si="7"/>
        <v>0.20063839857980359</v>
      </c>
      <c r="AG42" s="89"/>
    </row>
    <row r="43" spans="9:33" x14ac:dyDescent="0.2">
      <c r="I43" s="56">
        <f t="shared" si="14"/>
        <v>36</v>
      </c>
      <c r="J43" s="19">
        <f t="shared" si="9"/>
        <v>0.12567778513310088</v>
      </c>
      <c r="K43" s="19">
        <f t="shared" si="10"/>
        <v>6.2217915665386155E-2</v>
      </c>
      <c r="L43" s="19">
        <f t="shared" si="11"/>
        <v>0.25997182155001797</v>
      </c>
      <c r="M43" s="19">
        <f t="shared" si="12"/>
        <v>0.26272757557364951</v>
      </c>
      <c r="N43" s="85">
        <f t="shared" si="13"/>
        <v>0.28940490207784464</v>
      </c>
      <c r="O43" s="19"/>
      <c r="P43" s="64">
        <f t="shared" si="15"/>
        <v>0.33959552564493911</v>
      </c>
      <c r="Q43" s="12"/>
      <c r="R43" s="12">
        <v>1</v>
      </c>
      <c r="S43" s="12"/>
      <c r="T43" s="65">
        <f t="shared" si="1"/>
        <v>0.33959552564493911</v>
      </c>
      <c r="V43" s="55">
        <f t="shared" si="2"/>
        <v>208.36936393526241</v>
      </c>
      <c r="W43" s="11"/>
      <c r="X43" s="76">
        <f t="shared" si="3"/>
        <v>0.13338030690406097</v>
      </c>
      <c r="Y43" s="77"/>
      <c r="Z43" s="76">
        <f t="shared" si="4"/>
        <v>1.9476340248585074E-2</v>
      </c>
      <c r="AB43" s="74">
        <v>33.982592404000002</v>
      </c>
      <c r="AC43" s="2">
        <f t="shared" si="5"/>
        <v>21.307223263871222</v>
      </c>
      <c r="AD43" s="2">
        <f t="shared" si="16"/>
        <v>9.1230271973326005E-3</v>
      </c>
      <c r="AE43" s="57">
        <f t="shared" si="7"/>
        <v>0.19438637733593506</v>
      </c>
      <c r="AG43" s="89"/>
    </row>
    <row r="44" spans="9:33" x14ac:dyDescent="0.2">
      <c r="I44" s="56">
        <f t="shared" si="14"/>
        <v>37</v>
      </c>
      <c r="J44" s="19">
        <f t="shared" si="9"/>
        <v>0.11864185315817288</v>
      </c>
      <c r="K44" s="19">
        <f t="shared" si="10"/>
        <v>5.892793303727701E-2</v>
      </c>
      <c r="L44" s="19">
        <f t="shared" si="11"/>
        <v>0.25691810511529056</v>
      </c>
      <c r="M44" s="19">
        <f t="shared" si="12"/>
        <v>0.26713911467412538</v>
      </c>
      <c r="N44" s="85">
        <f t="shared" si="13"/>
        <v>0.29837299401513329</v>
      </c>
      <c r="O44" s="19"/>
      <c r="P44" s="64">
        <f t="shared" si="15"/>
        <v>0.32955896107518912</v>
      </c>
      <c r="Q44" s="12"/>
      <c r="R44" s="12">
        <v>1</v>
      </c>
      <c r="S44" s="12"/>
      <c r="T44" s="65">
        <f t="shared" si="1"/>
        <v>0.32955896107518912</v>
      </c>
      <c r="V44" s="55">
        <f t="shared" si="2"/>
        <v>198.53442746318674</v>
      </c>
      <c r="W44" s="11"/>
      <c r="X44" s="76">
        <f t="shared" si="3"/>
        <v>0.12528443387997337</v>
      </c>
      <c r="Y44" s="77"/>
      <c r="Z44" s="76">
        <f t="shared" si="4"/>
        <v>1.8595626550321171E-2</v>
      </c>
      <c r="AB44" s="74">
        <v>33.050303857999999</v>
      </c>
      <c r="AC44" s="2">
        <f t="shared" si="5"/>
        <v>20.966121276791593</v>
      </c>
      <c r="AD44" s="2">
        <f t="shared" si="16"/>
        <v>8.968091937288647E-3</v>
      </c>
      <c r="AE44" s="57">
        <f t="shared" si="7"/>
        <v>0.18802610317861065</v>
      </c>
      <c r="AG44" s="89"/>
    </row>
    <row r="45" spans="9:33" x14ac:dyDescent="0.2">
      <c r="I45" s="56">
        <f t="shared" si="14"/>
        <v>38</v>
      </c>
      <c r="J45" s="19">
        <f t="shared" si="9"/>
        <v>0.11199982006285504</v>
      </c>
      <c r="K45" s="19">
        <f t="shared" si="10"/>
        <v>5.5795222635197352E-2</v>
      </c>
      <c r="L45" s="19">
        <f t="shared" si="11"/>
        <v>0.25360550139838517</v>
      </c>
      <c r="M45" s="19">
        <f t="shared" si="12"/>
        <v>0.27141831720494713</v>
      </c>
      <c r="N45" s="85">
        <f t="shared" si="13"/>
        <v>0.30718113869861441</v>
      </c>
      <c r="O45" s="19"/>
      <c r="P45" s="64">
        <f t="shared" si="15"/>
        <v>0.31981902181630395</v>
      </c>
      <c r="Q45" s="12"/>
      <c r="R45" s="12">
        <v>1</v>
      </c>
      <c r="S45" s="12"/>
      <c r="T45" s="65">
        <f t="shared" si="1"/>
        <v>0.31981902181630395</v>
      </c>
      <c r="V45" s="55">
        <f t="shared" si="2"/>
        <v>189.01501851816749</v>
      </c>
      <c r="W45" s="11"/>
      <c r="X45" s="76">
        <f t="shared" si="3"/>
        <v>0.11765811845262736</v>
      </c>
      <c r="Y45" s="77"/>
      <c r="Z45" s="76">
        <f t="shared" si="4"/>
        <v>1.7738600644651534E-2</v>
      </c>
      <c r="AB45" s="74">
        <v>32.118015311999997</v>
      </c>
      <c r="AC45" s="2">
        <f t="shared" si="5"/>
        <v>20.615344460118877</v>
      </c>
      <c r="AD45" s="2">
        <f t="shared" si="16"/>
        <v>8.8081446834811228E-3</v>
      </c>
      <c r="AE45" s="57">
        <f t="shared" si="7"/>
        <v>0.1815829367045281</v>
      </c>
      <c r="AG45" s="89"/>
    </row>
    <row r="46" spans="9:33" x14ac:dyDescent="0.2">
      <c r="I46" s="56">
        <f t="shared" si="14"/>
        <v>39</v>
      </c>
      <c r="J46" s="19">
        <f t="shared" si="9"/>
        <v>0.10572963385347955</v>
      </c>
      <c r="K46" s="19">
        <f t="shared" si="10"/>
        <v>5.2814728627363375E-2</v>
      </c>
      <c r="L46" s="19">
        <f t="shared" si="11"/>
        <v>0.25006241998475059</v>
      </c>
      <c r="M46" s="19">
        <f t="shared" si="12"/>
        <v>0.27556811316470325</v>
      </c>
      <c r="N46" s="85">
        <f t="shared" si="13"/>
        <v>0.31582510436970235</v>
      </c>
      <c r="O46" s="19"/>
      <c r="P46" s="64">
        <f t="shared" si="15"/>
        <v>0.31036694126548503</v>
      </c>
      <c r="Q46" s="12"/>
      <c r="R46" s="12">
        <v>1</v>
      </c>
      <c r="S46" s="12"/>
      <c r="T46" s="65">
        <f t="shared" si="1"/>
        <v>0.31036694126548503</v>
      </c>
      <c r="V46" s="55">
        <f t="shared" si="2"/>
        <v>179.81790837512173</v>
      </c>
      <c r="W46" s="11"/>
      <c r="X46" s="76">
        <f t="shared" si="3"/>
        <v>0.11047621828206318</v>
      </c>
      <c r="Y46" s="77"/>
      <c r="Z46" s="76">
        <f t="shared" si="4"/>
        <v>1.6906550038200178E-2</v>
      </c>
      <c r="AB46" s="74">
        <v>31.185726765999998</v>
      </c>
      <c r="AC46" s="2">
        <f t="shared" si="5"/>
        <v>20.25461840229525</v>
      </c>
      <c r="AD46" s="2">
        <f t="shared" si="16"/>
        <v>8.6439656710879387E-3</v>
      </c>
      <c r="AE46" s="57">
        <f t="shared" si="7"/>
        <v>0.17508022615042618</v>
      </c>
      <c r="AG46" s="89"/>
    </row>
    <row r="47" spans="9:33" x14ac:dyDescent="0.2">
      <c r="I47" s="56">
        <f t="shared" si="14"/>
        <v>40</v>
      </c>
      <c r="J47" s="19">
        <f t="shared" si="9"/>
        <v>9.9810477092885139E-2</v>
      </c>
      <c r="K47" s="19">
        <f t="shared" si="10"/>
        <v>4.9981156038058548E-2</v>
      </c>
      <c r="L47" s="19">
        <f t="shared" si="11"/>
        <v>0.24631554362567831</v>
      </c>
      <c r="M47" s="19">
        <f t="shared" si="12"/>
        <v>0.27959144185839629</v>
      </c>
      <c r="N47" s="85">
        <f t="shared" si="13"/>
        <v>0.32430138138498082</v>
      </c>
      <c r="O47" s="19"/>
      <c r="P47" s="64">
        <f t="shared" si="15"/>
        <v>0.30119421191220214</v>
      </c>
      <c r="Q47" s="12"/>
      <c r="R47" s="12">
        <v>1</v>
      </c>
      <c r="S47" s="12"/>
      <c r="T47" s="65">
        <f t="shared" si="1"/>
        <v>0.30119421191220214</v>
      </c>
      <c r="V47" s="55">
        <f t="shared" si="2"/>
        <v>170.94725148861059</v>
      </c>
      <c r="W47" s="11"/>
      <c r="X47" s="76">
        <f t="shared" si="3"/>
        <v>0.10371472398199856</v>
      </c>
      <c r="Y47" s="77"/>
      <c r="Z47" s="76">
        <f t="shared" si="4"/>
        <v>1.6100452397369049E-2</v>
      </c>
      <c r="AB47" s="74">
        <v>30.25343822</v>
      </c>
      <c r="AC47" s="2">
        <f t="shared" si="5"/>
        <v>19.883660908504019</v>
      </c>
      <c r="AD47" s="2">
        <f t="shared" si="16"/>
        <v>8.4762770152784772E-3</v>
      </c>
      <c r="AE47" s="57">
        <f t="shared" si="7"/>
        <v>0.16853941793834379</v>
      </c>
      <c r="AG47" s="89"/>
    </row>
    <row r="48" spans="9:33" x14ac:dyDescent="0.2">
      <c r="I48" s="56">
        <f t="shared" si="14"/>
        <v>41</v>
      </c>
      <c r="J48" s="19">
        <f t="shared" si="9"/>
        <v>9.4222697785134674E-2</v>
      </c>
      <c r="K48" s="19">
        <f t="shared" si="10"/>
        <v>4.7289056872617606E-2</v>
      </c>
      <c r="L48" s="19">
        <f t="shared" si="11"/>
        <v>0.24238987324726877</v>
      </c>
      <c r="M48" s="19">
        <f t="shared" si="12"/>
        <v>0.28349124489644428</v>
      </c>
      <c r="N48" s="85">
        <f t="shared" si="13"/>
        <v>0.3326071271985338</v>
      </c>
      <c r="O48" s="19"/>
      <c r="P48" s="64">
        <f t="shared" si="15"/>
        <v>0.29229257768085942</v>
      </c>
      <c r="Q48" s="12"/>
      <c r="R48" s="12">
        <v>1</v>
      </c>
      <c r="S48" s="12"/>
      <c r="T48" s="65">
        <f t="shared" si="1"/>
        <v>0.29229257768085942</v>
      </c>
      <c r="V48" s="55">
        <f t="shared" si="2"/>
        <v>162.40491084267148</v>
      </c>
      <c r="W48" s="11"/>
      <c r="X48" s="76">
        <f t="shared" si="3"/>
        <v>9.7350732208730834E-2</v>
      </c>
      <c r="Y48" s="77"/>
      <c r="Z48" s="76">
        <f t="shared" si="4"/>
        <v>1.532101196582656E-2</v>
      </c>
      <c r="AB48" s="74">
        <v>29.338929644</v>
      </c>
      <c r="AC48" s="2">
        <f t="shared" si="5"/>
        <v>19.509557336467644</v>
      </c>
      <c r="AD48" s="2">
        <f t="shared" si="16"/>
        <v>8.3057458135529783E-3</v>
      </c>
      <c r="AE48" s="57">
        <f t="shared" si="7"/>
        <v>0.16204142417163792</v>
      </c>
      <c r="AG48" s="89"/>
    </row>
    <row r="49" spans="9:33" x14ac:dyDescent="0.2">
      <c r="I49" s="56">
        <f t="shared" si="14"/>
        <v>42</v>
      </c>
      <c r="J49" s="19">
        <f t="shared" si="9"/>
        <v>8.8947744129575693E-2</v>
      </c>
      <c r="K49" s="19">
        <f t="shared" si="10"/>
        <v>4.4732901289145879E-2</v>
      </c>
      <c r="L49" s="19">
        <f t="shared" si="11"/>
        <v>0.23830878040685535</v>
      </c>
      <c r="M49" s="19">
        <f t="shared" si="12"/>
        <v>0.28727045979559074</v>
      </c>
      <c r="N49" s="85">
        <f t="shared" si="13"/>
        <v>0.34074011437883145</v>
      </c>
      <c r="O49" s="19"/>
      <c r="P49" s="64">
        <f t="shared" si="15"/>
        <v>0.2836540264997704</v>
      </c>
      <c r="Q49" s="12"/>
      <c r="R49" s="12">
        <v>1</v>
      </c>
      <c r="S49" s="12"/>
      <c r="T49" s="65">
        <f t="shared" si="1"/>
        <v>0.2836540264997704</v>
      </c>
      <c r="V49" s="55">
        <f t="shared" si="2"/>
        <v>154.19075423559758</v>
      </c>
      <c r="W49" s="11"/>
      <c r="X49" s="76">
        <f t="shared" si="3"/>
        <v>9.1362416049847614E-2</v>
      </c>
      <c r="Y49" s="77"/>
      <c r="Z49" s="76">
        <f t="shared" si="4"/>
        <v>1.4568692752445449E-2</v>
      </c>
      <c r="AB49" s="74">
        <v>28.424421068000001</v>
      </c>
      <c r="AC49" s="2">
        <f t="shared" si="5"/>
        <v>19.125048047608598</v>
      </c>
      <c r="AD49" s="2">
        <f t="shared" si="16"/>
        <v>8.1329871802976461E-3</v>
      </c>
      <c r="AE49" s="57">
        <f t="shared" si="7"/>
        <v>0.15554377059377725</v>
      </c>
      <c r="AG49" s="89"/>
    </row>
    <row r="50" spans="9:33" x14ac:dyDescent="0.2">
      <c r="I50" s="56">
        <f t="shared" si="14"/>
        <v>43</v>
      </c>
      <c r="J50" s="19">
        <f t="shared" si="9"/>
        <v>8.3968102927622607E-2</v>
      </c>
      <c r="K50" s="19">
        <f t="shared" si="10"/>
        <v>4.2307136065374312E-2</v>
      </c>
      <c r="L50" s="19">
        <f t="shared" si="11"/>
        <v>0.23409406528295648</v>
      </c>
      <c r="M50" s="19">
        <f t="shared" si="12"/>
        <v>0.29093201414593828</v>
      </c>
      <c r="N50" s="85">
        <f t="shared" si="13"/>
        <v>0.34869868157810741</v>
      </c>
      <c r="O50" s="19"/>
      <c r="P50" s="64">
        <f t="shared" si="15"/>
        <v>0.27527078308975234</v>
      </c>
      <c r="Q50" s="12"/>
      <c r="R50" s="12">
        <v>1</v>
      </c>
      <c r="S50" s="12"/>
      <c r="T50" s="65">
        <f t="shared" si="1"/>
        <v>0.27527078308975234</v>
      </c>
      <c r="V50" s="55">
        <f t="shared" si="2"/>
        <v>146.30292317106824</v>
      </c>
      <c r="W50" s="11"/>
      <c r="X50" s="76">
        <f t="shared" si="3"/>
        <v>8.5728993332380307E-2</v>
      </c>
      <c r="Y50" s="77"/>
      <c r="Z50" s="76">
        <f t="shared" si="4"/>
        <v>1.3843748685067147E-2</v>
      </c>
      <c r="AB50" s="74">
        <v>27.509912492000002</v>
      </c>
      <c r="AC50" s="2">
        <f t="shared" si="5"/>
        <v>18.729843606191203</v>
      </c>
      <c r="AD50" s="2">
        <f t="shared" si="16"/>
        <v>7.9585671992759566E-3</v>
      </c>
      <c r="AE50" s="57">
        <f t="shared" si="7"/>
        <v>0.14906271897180182</v>
      </c>
      <c r="AG50" s="89"/>
    </row>
    <row r="51" spans="9:33" x14ac:dyDescent="0.2">
      <c r="I51" s="56">
        <f t="shared" si="14"/>
        <v>44</v>
      </c>
      <c r="J51" s="19">
        <f t="shared" si="9"/>
        <v>7.9267241437767283E-2</v>
      </c>
      <c r="K51" s="19">
        <f t="shared" si="10"/>
        <v>4.0006232286599351E-2</v>
      </c>
      <c r="L51" s="19">
        <f t="shared" si="11"/>
        <v>0.22976601860475326</v>
      </c>
      <c r="M51" s="19">
        <f t="shared" si="12"/>
        <v>0.29447882030955042</v>
      </c>
      <c r="N51" s="85">
        <f t="shared" si="13"/>
        <v>0.35648168736132874</v>
      </c>
      <c r="O51" s="19"/>
      <c r="P51" s="64">
        <f t="shared" si="15"/>
        <v>0.26713530196585039</v>
      </c>
      <c r="Q51" s="12"/>
      <c r="R51" s="12">
        <v>1</v>
      </c>
      <c r="S51" s="12"/>
      <c r="T51" s="65">
        <f t="shared" si="1"/>
        <v>0.26713530196585039</v>
      </c>
      <c r="V51" s="55">
        <f t="shared" si="2"/>
        <v>138.73807608471009</v>
      </c>
      <c r="W51" s="11"/>
      <c r="X51" s="76">
        <f t="shared" si="3"/>
        <v>8.0430693381932344E-2</v>
      </c>
      <c r="Y51" s="77"/>
      <c r="Z51" s="76">
        <f t="shared" si="4"/>
        <v>1.3146250928575021E-2</v>
      </c>
      <c r="AB51" s="74">
        <v>26.595403915999999</v>
      </c>
      <c r="AC51" s="2">
        <f t="shared" si="5"/>
        <v>18.323646525804701</v>
      </c>
      <c r="AD51" s="2">
        <f t="shared" si="16"/>
        <v>7.7830057832213306E-3</v>
      </c>
      <c r="AE51" s="57">
        <f t="shared" si="7"/>
        <v>0.14261304688004142</v>
      </c>
      <c r="AG51" s="89"/>
    </row>
    <row r="52" spans="9:33" x14ac:dyDescent="0.2">
      <c r="I52" s="56">
        <f t="shared" si="14"/>
        <v>45</v>
      </c>
      <c r="J52" s="19">
        <f t="shared" si="9"/>
        <v>7.4829552485772596E-2</v>
      </c>
      <c r="K52" s="19">
        <f t="shared" si="10"/>
        <v>3.78247239036393E-2</v>
      </c>
      <c r="L52" s="19">
        <f t="shared" si="11"/>
        <v>0.22534348619930272</v>
      </c>
      <c r="M52" s="19">
        <f t="shared" si="12"/>
        <v>0.29791377061737656</v>
      </c>
      <c r="N52" s="85">
        <f t="shared" si="13"/>
        <v>0.36408846679390788</v>
      </c>
      <c r="O52" s="19"/>
      <c r="P52" s="64">
        <f t="shared" si="15"/>
        <v>0.25924026064589156</v>
      </c>
      <c r="Q52" s="12"/>
      <c r="R52" s="12">
        <v>1</v>
      </c>
      <c r="S52" s="12"/>
      <c r="T52" s="65">
        <f t="shared" si="1"/>
        <v>0.25924026064589156</v>
      </c>
      <c r="V52" s="55">
        <f t="shared" si="2"/>
        <v>131.49160765056735</v>
      </c>
      <c r="W52" s="11"/>
      <c r="X52" s="76">
        <f t="shared" si="3"/>
        <v>7.5448722687612407E-2</v>
      </c>
      <c r="Y52" s="77"/>
      <c r="Z52" s="76">
        <f t="shared" si="4"/>
        <v>1.2476112564915296E-2</v>
      </c>
      <c r="AB52" s="74">
        <v>25.680895339999999</v>
      </c>
      <c r="AC52" s="2">
        <f t="shared" si="5"/>
        <v>17.906151045433177</v>
      </c>
      <c r="AD52" s="2">
        <f t="shared" si="16"/>
        <v>7.6067794325791471E-3</v>
      </c>
      <c r="AE52" s="57">
        <f t="shared" si="7"/>
        <v>0.13620814148905669</v>
      </c>
      <c r="AG52" s="89"/>
    </row>
    <row r="53" spans="9:33" x14ac:dyDescent="0.2">
      <c r="I53" s="56">
        <f t="shared" si="14"/>
        <v>46</v>
      </c>
      <c r="J53" s="19">
        <f t="shared" si="9"/>
        <v>7.0640302647811112E-2</v>
      </c>
      <c r="K53" s="19">
        <f t="shared" si="10"/>
        <v>3.5757238571797197E-2</v>
      </c>
      <c r="L53" s="19">
        <f t="shared" si="11"/>
        <v>0.22084393506602118</v>
      </c>
      <c r="M53" s="19">
        <f t="shared" si="12"/>
        <v>0.30123973303261792</v>
      </c>
      <c r="N53" s="85">
        <f t="shared" si="13"/>
        <v>0.37151879068175164</v>
      </c>
      <c r="O53" s="19"/>
      <c r="P53" s="64">
        <f t="shared" si="15"/>
        <v>0.25157855305975652</v>
      </c>
      <c r="Q53" s="12"/>
      <c r="R53" s="12">
        <v>1</v>
      </c>
      <c r="S53" s="12"/>
      <c r="T53" s="65">
        <f t="shared" si="1"/>
        <v>0.25157855305975652</v>
      </c>
      <c r="V53" s="55">
        <f t="shared" si="2"/>
        <v>124.55784589513001</v>
      </c>
      <c r="W53" s="11"/>
      <c r="X53" s="76">
        <f t="shared" si="3"/>
        <v>7.0765229860825549E-2</v>
      </c>
      <c r="Y53" s="77"/>
      <c r="Z53" s="76">
        <f t="shared" si="4"/>
        <v>1.1833110828883569E-2</v>
      </c>
      <c r="AB53" s="74">
        <v>24.802356295999999</v>
      </c>
      <c r="AC53" s="2">
        <f t="shared" si="5"/>
        <v>17.494143971259124</v>
      </c>
      <c r="AD53" s="2">
        <f t="shared" si="16"/>
        <v>7.4303238878437594E-3</v>
      </c>
      <c r="AE53" s="57">
        <f t="shared" si="7"/>
        <v>0.12998715584702455</v>
      </c>
      <c r="AG53" s="89"/>
    </row>
    <row r="54" spans="9:33" x14ac:dyDescent="0.2">
      <c r="I54" s="56">
        <f t="shared" si="14"/>
        <v>47</v>
      </c>
      <c r="J54" s="19">
        <f t="shared" si="9"/>
        <v>6.6685583334513632E-2</v>
      </c>
      <c r="K54" s="19">
        <f t="shared" si="10"/>
        <v>3.3798521977484661E-2</v>
      </c>
      <c r="L54" s="19">
        <f t="shared" si="11"/>
        <v>0.2162835200842792</v>
      </c>
      <c r="M54" s="19">
        <f t="shared" si="12"/>
        <v>0.30445954725004826</v>
      </c>
      <c r="N54" s="85">
        <f t="shared" si="13"/>
        <v>0.37877282735367329</v>
      </c>
      <c r="O54" s="19"/>
      <c r="P54" s="64">
        <f t="shared" si="15"/>
        <v>0.24414328315343711</v>
      </c>
      <c r="Q54" s="12"/>
      <c r="R54" s="12">
        <v>1</v>
      </c>
      <c r="S54" s="12"/>
      <c r="T54" s="65">
        <f t="shared" si="1"/>
        <v>0.24414328315343711</v>
      </c>
      <c r="V54" s="55">
        <f t="shared" si="2"/>
        <v>117.93022880560584</v>
      </c>
      <c r="W54" s="11"/>
      <c r="X54" s="76">
        <f t="shared" si="3"/>
        <v>6.6363270217827786E-2</v>
      </c>
      <c r="Y54" s="77"/>
      <c r="Z54" s="76">
        <f t="shared" si="4"/>
        <v>1.1216907087478349E-2</v>
      </c>
      <c r="AB54" s="74">
        <v>23.923817251999999</v>
      </c>
      <c r="AC54" s="2">
        <f t="shared" si="5"/>
        <v>17.071133602640145</v>
      </c>
      <c r="AD54" s="2">
        <f t="shared" si="16"/>
        <v>7.2540366719216487E-3</v>
      </c>
      <c r="AE54" s="57">
        <f t="shared" si="7"/>
        <v>0.12383462918482555</v>
      </c>
      <c r="AG54" s="89"/>
    </row>
    <row r="55" spans="9:33" x14ac:dyDescent="0.2">
      <c r="I55" s="56">
        <f t="shared" si="14"/>
        <v>48</v>
      </c>
      <c r="J55" s="19">
        <f t="shared" si="9"/>
        <v>6.2952264613523101E-2</v>
      </c>
      <c r="K55" s="19">
        <f t="shared" si="10"/>
        <v>3.1943456683724003E-2</v>
      </c>
      <c r="L55" s="19">
        <f t="shared" si="11"/>
        <v>0.21167715062627648</v>
      </c>
      <c r="M55" s="19">
        <f t="shared" si="12"/>
        <v>0.30757602120221161</v>
      </c>
      <c r="N55" s="85">
        <f t="shared" si="13"/>
        <v>0.38585110687426388</v>
      </c>
      <c r="O55" s="19"/>
      <c r="P55" s="64">
        <f t="shared" si="15"/>
        <v>0.23692775868212176</v>
      </c>
      <c r="Q55" s="12"/>
      <c r="R55" s="12">
        <v>1</v>
      </c>
      <c r="S55" s="12"/>
      <c r="T55" s="65">
        <f t="shared" si="1"/>
        <v>0.23692775868212176</v>
      </c>
      <c r="V55" s="55">
        <f t="shared" si="2"/>
        <v>111.60146206054877</v>
      </c>
      <c r="W55" s="11"/>
      <c r="X55" s="76">
        <f t="shared" si="3"/>
        <v>6.2226770265329599E-2</v>
      </c>
      <c r="Y55" s="77"/>
      <c r="Z55" s="76">
        <f t="shared" si="4"/>
        <v>1.0627064743037642E-2</v>
      </c>
      <c r="AB55" s="74">
        <v>23.045278207999999</v>
      </c>
      <c r="AC55" s="2">
        <f t="shared" si="5"/>
        <v>16.636826079358205</v>
      </c>
      <c r="AD55" s="2">
        <f t="shared" si="16"/>
        <v>7.0782795205905913E-3</v>
      </c>
      <c r="AE55" s="57">
        <f t="shared" si="7"/>
        <v>0.11776010532514863</v>
      </c>
      <c r="AG55" s="89"/>
    </row>
    <row r="56" spans="9:33" x14ac:dyDescent="0.2">
      <c r="I56" s="56">
        <f t="shared" si="14"/>
        <v>49</v>
      </c>
      <c r="J56" s="19">
        <f t="shared" si="9"/>
        <v>5.9427951617241966E-2</v>
      </c>
      <c r="K56" s="19">
        <f t="shared" si="10"/>
        <v>3.018707637515804E-2</v>
      </c>
      <c r="L56" s="19">
        <f t="shared" si="11"/>
        <v>0.20703855648804415</v>
      </c>
      <c r="M56" s="19">
        <f t="shared" si="12"/>
        <v>0.31059192794482515</v>
      </c>
      <c r="N56" s="85">
        <f t="shared" si="13"/>
        <v>0.3927544875747298</v>
      </c>
      <c r="O56" s="19"/>
      <c r="P56" s="64">
        <f t="shared" si="15"/>
        <v>0.22992548518672384</v>
      </c>
      <c r="Q56" s="12"/>
      <c r="R56" s="12">
        <v>1</v>
      </c>
      <c r="S56" s="12"/>
      <c r="T56" s="65">
        <f t="shared" si="1"/>
        <v>0.22992548518672384</v>
      </c>
      <c r="V56" s="55">
        <f t="shared" si="2"/>
        <v>105.56365943998375</v>
      </c>
      <c r="W56" s="11"/>
      <c r="X56" s="76">
        <f t="shared" si="3"/>
        <v>5.8340492324376055E-2</v>
      </c>
      <c r="Y56" s="77"/>
      <c r="Z56" s="76">
        <f t="shared" si="4"/>
        <v>1.0063065231719726E-2</v>
      </c>
      <c r="AB56" s="74">
        <v>22.166739163999999</v>
      </c>
      <c r="AC56" s="2">
        <f t="shared" si="5"/>
        <v>16.190919693197753</v>
      </c>
      <c r="AD56" s="2">
        <f t="shared" si="16"/>
        <v>6.903380700465922E-3</v>
      </c>
      <c r="AE56" s="57">
        <f t="shared" si="7"/>
        <v>0.111772082532815</v>
      </c>
      <c r="AG56" s="89"/>
    </row>
    <row r="57" spans="9:33" x14ac:dyDescent="0.2">
      <c r="I57" s="56">
        <f t="shared" si="14"/>
        <v>50</v>
      </c>
      <c r="J57" s="19">
        <f t="shared" si="9"/>
        <v>5.6100943391043524E-2</v>
      </c>
      <c r="K57" s="19">
        <f t="shared" si="10"/>
        <v>2.8524576253973609E-2</v>
      </c>
      <c r="L57" s="19">
        <f t="shared" si="11"/>
        <v>0.20238035267016774</v>
      </c>
      <c r="M57" s="19">
        <f t="shared" si="12"/>
        <v>0.31351000289510955</v>
      </c>
      <c r="N57" s="85">
        <f t="shared" si="13"/>
        <v>0.39948412478970463</v>
      </c>
      <c r="O57" s="19"/>
      <c r="P57" s="64">
        <f t="shared" si="15"/>
        <v>0.22313016014842982</v>
      </c>
      <c r="Q57" s="12"/>
      <c r="R57" s="12">
        <v>1</v>
      </c>
      <c r="S57" s="12"/>
      <c r="T57" s="65">
        <f t="shared" si="1"/>
        <v>0.22313016014842982</v>
      </c>
      <c r="V57" s="55">
        <f t="shared" si="2"/>
        <v>99.80846739292609</v>
      </c>
      <c r="W57" s="11"/>
      <c r="X57" s="76">
        <f t="shared" si="3"/>
        <v>5.4689999489403195E-2</v>
      </c>
      <c r="Y57" s="77"/>
      <c r="Z57" s="76">
        <f t="shared" si="4"/>
        <v>9.5243222795598475E-3</v>
      </c>
      <c r="AB57" s="74">
        <v>21.288200119999999</v>
      </c>
      <c r="AC57" s="2">
        <f t="shared" si="5"/>
        <v>15.733104678352621</v>
      </c>
      <c r="AD57" s="2">
        <f t="shared" si="16"/>
        <v>6.7296372149748263E-3</v>
      </c>
      <c r="AE57" s="57">
        <f t="shared" si="7"/>
        <v>0.10587808675053634</v>
      </c>
      <c r="AG57" s="89"/>
    </row>
    <row r="58" spans="9:33" x14ac:dyDescent="0.2">
      <c r="I58" s="56">
        <f t="shared" si="14"/>
        <v>51</v>
      </c>
      <c r="J58" s="19">
        <f t="shared" si="9"/>
        <v>5.2960194045320791E-2</v>
      </c>
      <c r="K58" s="19">
        <f t="shared" si="10"/>
        <v>2.6951320227288567E-2</v>
      </c>
      <c r="L58" s="19">
        <f t="shared" si="11"/>
        <v>0.19771410263982961</v>
      </c>
      <c r="M58" s="19">
        <f t="shared" si="12"/>
        <v>0.31633294139813783</v>
      </c>
      <c r="N58" s="85">
        <f t="shared" si="13"/>
        <v>0.40604144168942224</v>
      </c>
      <c r="O58" s="19"/>
      <c r="P58" s="64">
        <f t="shared" si="15"/>
        <v>0.21653566731600707</v>
      </c>
      <c r="Q58" s="12"/>
      <c r="R58" s="12">
        <v>1</v>
      </c>
      <c r="S58" s="12"/>
      <c r="T58" s="65">
        <f t="shared" si="1"/>
        <v>0.21653566731600707</v>
      </c>
      <c r="V58" s="55">
        <f t="shared" si="2"/>
        <v>94.32717515596255</v>
      </c>
      <c r="W58" s="11"/>
      <c r="X58" s="76">
        <f t="shared" si="3"/>
        <v>5.1261621086049744E-2</v>
      </c>
      <c r="Y58" s="77"/>
      <c r="Z58" s="76">
        <f t="shared" si="4"/>
        <v>9.0101945686405401E-3</v>
      </c>
      <c r="AB58" s="74">
        <v>20.451263034</v>
      </c>
      <c r="AC58" s="2">
        <f t="shared" si="5"/>
        <v>15.285601687333003</v>
      </c>
      <c r="AD58" s="2">
        <f t="shared" si="16"/>
        <v>6.5573168997176134E-3</v>
      </c>
      <c r="AE58" s="57">
        <f t="shared" si="7"/>
        <v>0.10023253426670077</v>
      </c>
      <c r="AG58" s="89"/>
    </row>
    <row r="59" spans="9:33" x14ac:dyDescent="0.2">
      <c r="I59" s="56">
        <f t="shared" si="14"/>
        <v>52</v>
      </c>
      <c r="J59" s="19">
        <f t="shared" si="9"/>
        <v>4.9995276082394957E-2</v>
      </c>
      <c r="K59" s="19">
        <f t="shared" si="10"/>
        <v>2.5462845431483597E-2</v>
      </c>
      <c r="L59" s="19">
        <f t="shared" si="11"/>
        <v>0.19305037978977221</v>
      </c>
      <c r="M59" s="19">
        <f t="shared" si="12"/>
        <v>0.31906339659763239</v>
      </c>
      <c r="N59" s="85">
        <f t="shared" si="13"/>
        <v>0.41242810209871589</v>
      </c>
      <c r="O59" s="19"/>
      <c r="P59" s="64">
        <f t="shared" si="15"/>
        <v>0.21013607120076472</v>
      </c>
      <c r="Q59" s="12"/>
      <c r="R59" s="12">
        <v>1</v>
      </c>
      <c r="S59" s="12"/>
      <c r="T59" s="65">
        <f t="shared" si="1"/>
        <v>0.21013607120076472</v>
      </c>
      <c r="V59" s="55">
        <f t="shared" si="2"/>
        <v>89.110811729878804</v>
      </c>
      <c r="W59" s="11"/>
      <c r="X59" s="76">
        <f t="shared" si="3"/>
        <v>4.8042418762358721E-2</v>
      </c>
      <c r="Y59" s="77"/>
      <c r="Z59" s="76">
        <f t="shared" si="4"/>
        <v>8.5199969560957357E-3</v>
      </c>
      <c r="AB59" s="74">
        <v>19.614325948000001</v>
      </c>
      <c r="AC59" s="2">
        <f t="shared" si="5"/>
        <v>14.82672049601285</v>
      </c>
      <c r="AD59" s="2">
        <f t="shared" si="16"/>
        <v>6.386660409293643E-3</v>
      </c>
      <c r="AE59" s="57">
        <f t="shared" si="7"/>
        <v>9.4693228791547873E-2</v>
      </c>
      <c r="AG59" s="89"/>
    </row>
    <row r="60" spans="9:33" x14ac:dyDescent="0.2">
      <c r="I60" s="56">
        <f t="shared" si="14"/>
        <v>53</v>
      </c>
      <c r="J60" s="19">
        <f t="shared" si="9"/>
        <v>4.7196345776526379E-2</v>
      </c>
      <c r="K60" s="19">
        <f t="shared" si="10"/>
        <v>2.4054864557461322E-2</v>
      </c>
      <c r="L60" s="19">
        <f t="shared" si="11"/>
        <v>0.18839882688013523</v>
      </c>
      <c r="M60" s="19">
        <f t="shared" si="12"/>
        <v>0.32170397758894215</v>
      </c>
      <c r="N60" s="85">
        <f t="shared" si="13"/>
        <v>0.41864598519693391</v>
      </c>
      <c r="O60" s="19"/>
      <c r="P60" s="64">
        <f t="shared" si="15"/>
        <v>0.20392561173421347</v>
      </c>
      <c r="Q60" s="12"/>
      <c r="R60" s="12">
        <v>1</v>
      </c>
      <c r="S60" s="12"/>
      <c r="T60" s="65">
        <f t="shared" si="1"/>
        <v>0.20392561173421347</v>
      </c>
      <c r="V60" s="55">
        <f t="shared" si="2"/>
        <v>84.150230934167865</v>
      </c>
      <c r="W60" s="11"/>
      <c r="X60" s="76">
        <f t="shared" si="3"/>
        <v>4.5020153322890159E-2</v>
      </c>
      <c r="Y60" s="77"/>
      <c r="Z60" s="76">
        <f t="shared" si="4"/>
        <v>8.0530103789117034E-3</v>
      </c>
      <c r="AB60" s="74">
        <v>18.777388861999999</v>
      </c>
      <c r="AC60" s="2">
        <f t="shared" si="5"/>
        <v>14.356171802544639</v>
      </c>
      <c r="AD60" s="2">
        <f t="shared" si="16"/>
        <v>6.2178830982180244E-3</v>
      </c>
      <c r="AE60" s="57">
        <f t="shared" si="7"/>
        <v>8.9264998006156504E-2</v>
      </c>
      <c r="AG60" s="89"/>
    </row>
    <row r="61" spans="9:33" x14ac:dyDescent="0.2">
      <c r="I61" s="56">
        <f t="shared" si="14"/>
        <v>54</v>
      </c>
      <c r="J61" s="19">
        <f t="shared" si="9"/>
        <v>4.45541104920874E-2</v>
      </c>
      <c r="K61" s="19">
        <f t="shared" si="10"/>
        <v>2.272326637097747E-2</v>
      </c>
      <c r="L61" s="19">
        <f t="shared" si="11"/>
        <v>0.18376821330783308</v>
      </c>
      <c r="M61" s="19">
        <f t="shared" si="12"/>
        <v>0.32425724783319226</v>
      </c>
      <c r="N61" s="85">
        <f t="shared" si="13"/>
        <v>0.42469716199590873</v>
      </c>
      <c r="O61" s="19"/>
      <c r="P61" s="64">
        <f t="shared" si="15"/>
        <v>0.19789869908361471</v>
      </c>
      <c r="Q61" s="12"/>
      <c r="R61" s="12">
        <v>1</v>
      </c>
      <c r="S61" s="12"/>
      <c r="T61" s="65">
        <f t="shared" si="1"/>
        <v>0.19789869908361471</v>
      </c>
      <c r="V61" s="55">
        <f t="shared" si="2"/>
        <v>79.436185673130566</v>
      </c>
      <c r="W61" s="11"/>
      <c r="X61" s="76">
        <f t="shared" si="3"/>
        <v>4.2183252393503574E-2</v>
      </c>
      <c r="Y61" s="77"/>
      <c r="Z61" s="76">
        <f t="shared" si="4"/>
        <v>7.6084905679305878E-3</v>
      </c>
      <c r="AB61" s="74">
        <v>17.940451776</v>
      </c>
      <c r="AC61" s="2">
        <f t="shared" si="5"/>
        <v>13.873658949298999</v>
      </c>
      <c r="AD61" s="2">
        <f t="shared" si="16"/>
        <v>6.0511767989748222E-3</v>
      </c>
      <c r="AE61" s="57">
        <f t="shared" si="7"/>
        <v>8.3951963150887515E-2</v>
      </c>
      <c r="AG61" s="89"/>
    </row>
    <row r="62" spans="9:33" x14ac:dyDescent="0.2">
      <c r="I62" s="56">
        <f t="shared" si="14"/>
        <v>55</v>
      </c>
      <c r="J62" s="19">
        <f t="shared" si="9"/>
        <v>4.2059797831391181E-2</v>
      </c>
      <c r="K62" s="19">
        <f t="shared" si="10"/>
        <v>2.1464114762370399E-2</v>
      </c>
      <c r="L62" s="19">
        <f t="shared" si="11"/>
        <v>0.17916649009694577</v>
      </c>
      <c r="M62" s="19">
        <f t="shared" si="12"/>
        <v>0.3267257238128139</v>
      </c>
      <c r="N62" s="85">
        <f t="shared" si="13"/>
        <v>0.43058387349647775</v>
      </c>
      <c r="O62" s="19"/>
      <c r="P62" s="64">
        <f t="shared" si="15"/>
        <v>0.19204990862075413</v>
      </c>
      <c r="Q62" s="12"/>
      <c r="R62" s="12">
        <v>1</v>
      </c>
      <c r="S62" s="12"/>
      <c r="T62" s="65">
        <f t="shared" si="1"/>
        <v>0.19204990862075413</v>
      </c>
      <c r="V62" s="55">
        <f t="shared" si="2"/>
        <v>74.959392463309513</v>
      </c>
      <c r="W62" s="11"/>
      <c r="X62" s="76">
        <f t="shared" si="3"/>
        <v>3.95207789857435E-2</v>
      </c>
      <c r="Y62" s="77"/>
      <c r="Z62" s="76">
        <f t="shared" si="4"/>
        <v>7.1856756852070221E-3</v>
      </c>
      <c r="AB62" s="74">
        <v>17.103514690000001</v>
      </c>
      <c r="AC62" s="2">
        <f t="shared" si="5"/>
        <v>13.378877735836815</v>
      </c>
      <c r="AD62" s="2">
        <f t="shared" si="16"/>
        <v>5.8867115005690196E-3</v>
      </c>
      <c r="AE62" s="57">
        <f t="shared" si="7"/>
        <v>7.8757593432257383E-2</v>
      </c>
      <c r="AG62" s="89"/>
    </row>
    <row r="63" spans="9:33" x14ac:dyDescent="0.2">
      <c r="I63" s="56">
        <f t="shared" si="14"/>
        <v>56</v>
      </c>
      <c r="J63" s="19">
        <f t="shared" si="9"/>
        <v>3.9705126509745246E-2</v>
      </c>
      <c r="K63" s="19">
        <f t="shared" si="10"/>
        <v>2.0273646608804468E-2</v>
      </c>
      <c r="L63" s="19">
        <f t="shared" si="11"/>
        <v>0.17460084254397493</v>
      </c>
      <c r="M63" s="19">
        <f t="shared" si="12"/>
        <v>0.32911187390983193</v>
      </c>
      <c r="N63" s="85">
        <f t="shared" si="13"/>
        <v>0.4363085104276424</v>
      </c>
      <c r="O63" s="19"/>
      <c r="P63" s="64">
        <f t="shared" si="15"/>
        <v>0.18637397603940997</v>
      </c>
      <c r="Q63" s="12"/>
      <c r="R63" s="12">
        <v>1</v>
      </c>
      <c r="S63" s="12"/>
      <c r="T63" s="65">
        <f t="shared" si="1"/>
        <v>0.18637397603940997</v>
      </c>
      <c r="V63" s="55">
        <f t="shared" si="2"/>
        <v>70.710587190996193</v>
      </c>
      <c r="W63" s="11"/>
      <c r="X63" s="76">
        <f t="shared" si="3"/>
        <v>3.7022401013506012E-2</v>
      </c>
      <c r="Y63" s="77"/>
      <c r="Z63" s="76">
        <f t="shared" si="4"/>
        <v>6.7837929899879365E-3</v>
      </c>
      <c r="AB63" s="74">
        <v>16.330556705999999</v>
      </c>
      <c r="AC63" s="2">
        <f t="shared" si="5"/>
        <v>12.910752421145837</v>
      </c>
      <c r="AD63" s="2">
        <f t="shared" si="16"/>
        <v>5.7246369311646506E-3</v>
      </c>
      <c r="AE63" s="57">
        <f t="shared" si="7"/>
        <v>7.390937011921489E-2</v>
      </c>
      <c r="AG63" s="89"/>
    </row>
    <row r="64" spans="9:33" x14ac:dyDescent="0.2">
      <c r="I64" s="56">
        <f t="shared" si="14"/>
        <v>57</v>
      </c>
      <c r="J64" s="19">
        <f t="shared" si="9"/>
        <v>3.7482278861032989E-2</v>
      </c>
      <c r="K64" s="19">
        <f t="shared" si="10"/>
        <v>1.9148268688325039E-2</v>
      </c>
      <c r="L64" s="19">
        <f t="shared" si="11"/>
        <v>0.17007774048503857</v>
      </c>
      <c r="M64" s="19">
        <f t="shared" si="12"/>
        <v>0.33141811748940941</v>
      </c>
      <c r="N64" s="85">
        <f t="shared" si="13"/>
        <v>0.44187359447619295</v>
      </c>
      <c r="O64" s="19"/>
      <c r="P64" s="64">
        <f t="shared" si="15"/>
        <v>0.1808657926171221</v>
      </c>
      <c r="Q64" s="12"/>
      <c r="R64" s="12">
        <v>1</v>
      </c>
      <c r="S64" s="12"/>
      <c r="T64" s="65">
        <f t="shared" si="1"/>
        <v>0.1808657926171221</v>
      </c>
      <c r="V64" s="55">
        <f t="shared" si="2"/>
        <v>66.680572991095104</v>
      </c>
      <c r="W64" s="11"/>
      <c r="X64" s="76">
        <f t="shared" si="3"/>
        <v>3.4678361800662846E-2</v>
      </c>
      <c r="Y64" s="77"/>
      <c r="Z64" s="76">
        <f t="shared" si="4"/>
        <v>6.4020646301300565E-3</v>
      </c>
      <c r="AB64" s="74">
        <v>15.557598722</v>
      </c>
      <c r="AC64" s="2">
        <f t="shared" si="5"/>
        <v>12.431645032341947</v>
      </c>
      <c r="AD64" s="2">
        <f t="shared" si="16"/>
        <v>5.5650840485505504E-3</v>
      </c>
      <c r="AE64" s="57">
        <f t="shared" si="7"/>
        <v>6.9183149466728863E-2</v>
      </c>
      <c r="AG64" s="89"/>
    </row>
    <row r="65" spans="9:33" x14ac:dyDescent="0.2">
      <c r="I65" s="56">
        <f t="shared" si="14"/>
        <v>58</v>
      </c>
      <c r="J65" s="19">
        <f t="shared" si="9"/>
        <v>3.5383874882539808E-2</v>
      </c>
      <c r="K65" s="19">
        <f t="shared" si="10"/>
        <v>1.8084553847553905E-2</v>
      </c>
      <c r="L65" s="19">
        <f t="shared" si="11"/>
        <v>0.16560298617922806</v>
      </c>
      <c r="M65" s="19">
        <f t="shared" si="12"/>
        <v>0.33364682417221886</v>
      </c>
      <c r="N65" s="85">
        <f t="shared" si="13"/>
        <v>0.44728176091845828</v>
      </c>
      <c r="O65" s="19"/>
      <c r="P65" s="64">
        <f t="shared" si="15"/>
        <v>0.17552040061699686</v>
      </c>
      <c r="Q65" s="12"/>
      <c r="R65" s="12">
        <v>1</v>
      </c>
      <c r="S65" s="12"/>
      <c r="T65" s="65">
        <f t="shared" si="1"/>
        <v>0.17552040061699686</v>
      </c>
      <c r="V65" s="55">
        <f t="shared" si="2"/>
        <v>62.860261065091791</v>
      </c>
      <c r="W65" s="11"/>
      <c r="X65" s="76">
        <f t="shared" si="3"/>
        <v>3.2479451606291558E-2</v>
      </c>
      <c r="Y65" s="77"/>
      <c r="Z65" s="76">
        <f t="shared" si="4"/>
        <v>6.0397126477694648E-3</v>
      </c>
      <c r="AB65" s="74">
        <v>14.784640738</v>
      </c>
      <c r="AC65" s="2">
        <f t="shared" si="5"/>
        <v>11.941297933386169</v>
      </c>
      <c r="AD65" s="2">
        <f t="shared" si="16"/>
        <v>5.4081664422653275E-3</v>
      </c>
      <c r="AE65" s="57">
        <f t="shared" si="7"/>
        <v>6.4580526760431384E-2</v>
      </c>
      <c r="AG65" s="89"/>
    </row>
    <row r="66" spans="9:33" x14ac:dyDescent="0.2">
      <c r="I66" s="58">
        <f t="shared" si="14"/>
        <v>59</v>
      </c>
      <c r="J66" s="86">
        <f t="shared" si="9"/>
        <v>3.3402947732851018E-2</v>
      </c>
      <c r="K66" s="86">
        <f t="shared" si="10"/>
        <v>1.707923659283575E-2</v>
      </c>
      <c r="L66" s="86">
        <f t="shared" si="11"/>
        <v>0.16118175982436164</v>
      </c>
      <c r="M66" s="86">
        <f t="shared" si="12"/>
        <v>0.33580031328023502</v>
      </c>
      <c r="N66" s="87">
        <f t="shared" si="13"/>
        <v>0.45253574256971546</v>
      </c>
      <c r="O66" s="19"/>
      <c r="P66" s="66">
        <f t="shared" si="15"/>
        <v>0.17033298882540943</v>
      </c>
      <c r="Q66" s="67"/>
      <c r="R66" s="68">
        <v>0.5</v>
      </c>
      <c r="S66" s="67"/>
      <c r="T66" s="69">
        <f t="shared" si="1"/>
        <v>8.5166494412704713E-2</v>
      </c>
      <c r="V66" s="55">
        <f t="shared" si="2"/>
        <v>29.62035259324426</v>
      </c>
      <c r="W66" s="11"/>
      <c r="X66" s="76">
        <f t="shared" si="3"/>
        <v>1.520849009193101E-2</v>
      </c>
      <c r="Y66" s="77"/>
      <c r="Z66" s="76">
        <f t="shared" si="4"/>
        <v>2.8479816402649026E-3</v>
      </c>
      <c r="AB66" s="75">
        <v>14.011682754000001</v>
      </c>
      <c r="AC66" s="59">
        <f t="shared" si="5"/>
        <v>11.439447444178276</v>
      </c>
      <c r="AD66" s="59">
        <f t="shared" si="16"/>
        <v>5.253981651257178E-3</v>
      </c>
      <c r="AE66" s="136">
        <f t="shared" si="7"/>
        <v>3.0051323486116742E-2</v>
      </c>
      <c r="AG66" s="89"/>
    </row>
    <row r="67" spans="9:33" x14ac:dyDescent="0.2">
      <c r="P67" s="12"/>
      <c r="Q67" s="12"/>
      <c r="R67" s="12"/>
      <c r="S67" s="12"/>
      <c r="T67" s="12"/>
      <c r="V67" s="11"/>
      <c r="W67" s="11"/>
      <c r="Y67" s="11"/>
    </row>
  </sheetData>
  <mergeCells count="13">
    <mergeCell ref="AH6:AL6"/>
    <mergeCell ref="AJ7:AL7"/>
    <mergeCell ref="C16:G16"/>
    <mergeCell ref="A18:A22"/>
    <mergeCell ref="AH7:AI7"/>
    <mergeCell ref="I2:N5"/>
    <mergeCell ref="P2:T2"/>
    <mergeCell ref="V2:AE2"/>
    <mergeCell ref="AB4:AE4"/>
    <mergeCell ref="V5:V6"/>
    <mergeCell ref="X5:X6"/>
    <mergeCell ref="Z5:Z6"/>
    <mergeCell ref="AE5:AE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212B4-105C-E14A-8210-0166C2356D6B}">
  <sheetPr codeName="Sheet10"/>
  <dimension ref="A2:AL67"/>
  <sheetViews>
    <sheetView tabSelected="1" topLeftCell="X1" zoomScale="151" zoomScaleNormal="151" workbookViewId="0">
      <selection activeCell="AE5" sqref="AE5:AE66"/>
    </sheetView>
  </sheetViews>
  <sheetFormatPr baseColWidth="10" defaultRowHeight="16" x14ac:dyDescent="0.2"/>
  <cols>
    <col min="1" max="1" width="10.83203125" style="2"/>
    <col min="2" max="2" width="12.33203125" style="2" customWidth="1"/>
    <col min="3" max="3" width="10.83203125" style="2"/>
    <col min="4" max="4" width="12.33203125" style="2" customWidth="1"/>
    <col min="5" max="6" width="15.1640625" style="2" customWidth="1"/>
    <col min="7" max="7" width="19.33203125" style="2" customWidth="1"/>
    <col min="8" max="8" width="10.83203125" style="2"/>
    <col min="9" max="9" width="10.83203125" style="10"/>
    <col min="10" max="13" width="10.83203125" style="2"/>
    <col min="14" max="14" width="15" style="2" customWidth="1"/>
    <col min="15" max="15" width="3.33203125" style="2" customWidth="1"/>
    <col min="16" max="16" width="14.5" style="2" customWidth="1"/>
    <col min="17" max="17" width="2.33203125" style="2" customWidth="1"/>
    <col min="18" max="18" width="10.83203125" style="2"/>
    <col min="19" max="19" width="2.6640625" style="2" customWidth="1"/>
    <col min="20" max="20" width="14.6640625" style="2" customWidth="1"/>
    <col min="21" max="21" width="1.83203125" style="2" customWidth="1"/>
    <col min="22" max="22" width="15" style="2" customWidth="1"/>
    <col min="23" max="23" width="2.33203125" style="2" customWidth="1"/>
    <col min="24" max="24" width="15" style="52" customWidth="1"/>
    <col min="25" max="25" width="2.1640625" style="2" customWidth="1"/>
    <col min="26" max="26" width="15" style="52" customWidth="1"/>
    <col min="27" max="27" width="2.83203125" style="2" customWidth="1"/>
    <col min="28" max="28" width="13.83203125" style="2" customWidth="1"/>
    <col min="29" max="29" width="15.33203125" style="2" customWidth="1"/>
    <col min="30" max="30" width="19.6640625" style="2" customWidth="1"/>
    <col min="31" max="31" width="15" style="2" customWidth="1"/>
    <col min="32" max="32" width="2.83203125" style="2" customWidth="1"/>
    <col min="33" max="33" width="4.83203125" style="2" customWidth="1"/>
    <col min="34" max="34" width="15.83203125" style="2" customWidth="1"/>
    <col min="35" max="35" width="15.5" style="2" customWidth="1"/>
    <col min="36" max="37" width="10.83203125" style="2"/>
    <col min="38" max="38" width="16.33203125" style="2" customWidth="1"/>
    <col min="39" max="16384" width="10.83203125" style="2"/>
  </cols>
  <sheetData>
    <row r="2" spans="2:38" ht="16" customHeight="1" x14ac:dyDescent="0.2">
      <c r="I2" s="113" t="s">
        <v>5</v>
      </c>
      <c r="J2" s="114"/>
      <c r="K2" s="114"/>
      <c r="L2" s="114"/>
      <c r="M2" s="114"/>
      <c r="N2" s="115"/>
      <c r="O2" s="7"/>
      <c r="P2" s="128" t="s">
        <v>102</v>
      </c>
      <c r="Q2" s="129"/>
      <c r="R2" s="129"/>
      <c r="S2" s="129"/>
      <c r="T2" s="130"/>
      <c r="V2" s="128" t="s">
        <v>108</v>
      </c>
      <c r="W2" s="129"/>
      <c r="X2" s="129"/>
      <c r="Y2" s="129"/>
      <c r="Z2" s="129"/>
      <c r="AA2" s="129"/>
      <c r="AB2" s="129"/>
      <c r="AC2" s="129"/>
      <c r="AD2" s="129"/>
      <c r="AE2" s="130"/>
    </row>
    <row r="3" spans="2:38" x14ac:dyDescent="0.2">
      <c r="I3" s="116"/>
      <c r="J3" s="117"/>
      <c r="K3" s="117"/>
      <c r="L3" s="117"/>
      <c r="M3" s="117"/>
      <c r="N3" s="118"/>
      <c r="O3" s="7"/>
      <c r="P3" s="78"/>
      <c r="Q3" s="79"/>
      <c r="R3" s="79"/>
      <c r="S3" s="79"/>
      <c r="T3" s="80"/>
      <c r="V3" s="78"/>
      <c r="W3" s="79"/>
      <c r="X3" s="79"/>
      <c r="Y3" s="79"/>
      <c r="Z3" s="79"/>
      <c r="AA3" s="79"/>
      <c r="AB3" s="79"/>
      <c r="AC3" s="79"/>
      <c r="AD3" s="79"/>
      <c r="AE3" s="80"/>
    </row>
    <row r="4" spans="2:38" ht="18" customHeight="1" x14ac:dyDescent="0.2">
      <c r="I4" s="116"/>
      <c r="J4" s="117"/>
      <c r="K4" s="117"/>
      <c r="L4" s="117"/>
      <c r="M4" s="117"/>
      <c r="N4" s="118"/>
      <c r="O4" s="7"/>
      <c r="P4" s="56"/>
      <c r="Q4" s="10"/>
      <c r="R4" s="10"/>
      <c r="S4" s="10"/>
      <c r="T4" s="63"/>
      <c r="V4" s="92"/>
      <c r="W4" s="73"/>
      <c r="X4" s="91"/>
      <c r="Y4" s="73"/>
      <c r="Z4" s="91"/>
      <c r="AA4" s="5"/>
      <c r="AB4" s="125" t="s">
        <v>103</v>
      </c>
      <c r="AC4" s="131"/>
      <c r="AD4" s="131"/>
      <c r="AE4" s="126"/>
      <c r="AG4" s="73"/>
    </row>
    <row r="5" spans="2:38" ht="184" customHeight="1" x14ac:dyDescent="0.2">
      <c r="I5" s="119"/>
      <c r="J5" s="120"/>
      <c r="K5" s="120"/>
      <c r="L5" s="120"/>
      <c r="M5" s="120"/>
      <c r="N5" s="121"/>
      <c r="O5" s="7"/>
      <c r="P5" s="70" t="s">
        <v>110</v>
      </c>
      <c r="Q5" s="6"/>
      <c r="R5" s="70" t="s">
        <v>111</v>
      </c>
      <c r="S5" s="7"/>
      <c r="T5" s="70" t="s">
        <v>112</v>
      </c>
      <c r="U5" s="6"/>
      <c r="V5" s="132" t="s">
        <v>97</v>
      </c>
      <c r="W5" s="7"/>
      <c r="X5" s="134" t="s">
        <v>95</v>
      </c>
      <c r="Y5" s="7"/>
      <c r="Z5" s="134" t="s">
        <v>96</v>
      </c>
      <c r="AA5" s="90"/>
      <c r="AB5" s="70" t="s">
        <v>115</v>
      </c>
      <c r="AC5" s="70" t="s">
        <v>113</v>
      </c>
      <c r="AD5" s="70" t="s">
        <v>114</v>
      </c>
      <c r="AE5" s="132" t="s">
        <v>174</v>
      </c>
      <c r="AF5" s="7"/>
      <c r="AG5" s="88"/>
    </row>
    <row r="6" spans="2:38" ht="17" thickBot="1" x14ac:dyDescent="0.25">
      <c r="I6" s="9" t="s">
        <v>8</v>
      </c>
      <c r="J6" s="8" t="s">
        <v>1</v>
      </c>
      <c r="K6" s="8" t="s">
        <v>3</v>
      </c>
      <c r="L6" s="8" t="s">
        <v>17</v>
      </c>
      <c r="M6" s="8" t="s">
        <v>52</v>
      </c>
      <c r="N6" s="8" t="s">
        <v>51</v>
      </c>
      <c r="O6" s="5"/>
      <c r="P6" s="72"/>
      <c r="Q6" s="5"/>
      <c r="R6" s="72"/>
      <c r="S6" s="5"/>
      <c r="T6" s="72"/>
      <c r="U6" s="5"/>
      <c r="V6" s="133"/>
      <c r="W6" s="91"/>
      <c r="X6" s="135"/>
      <c r="Y6" s="91"/>
      <c r="Z6" s="135"/>
      <c r="AA6" s="91"/>
      <c r="AB6" s="71"/>
      <c r="AC6" s="71"/>
      <c r="AD6" s="71"/>
      <c r="AE6" s="133"/>
      <c r="AG6" s="88"/>
      <c r="AH6" s="122" t="s">
        <v>109</v>
      </c>
      <c r="AI6" s="123"/>
      <c r="AJ6" s="123"/>
      <c r="AK6" s="123"/>
      <c r="AL6" s="124"/>
    </row>
    <row r="7" spans="2:38" x14ac:dyDescent="0.2">
      <c r="B7" s="54" t="s">
        <v>9</v>
      </c>
      <c r="I7" s="56">
        <v>0</v>
      </c>
      <c r="J7" s="19">
        <v>1</v>
      </c>
      <c r="K7" s="19">
        <v>0</v>
      </c>
      <c r="L7" s="19">
        <v>0</v>
      </c>
      <c r="M7" s="19">
        <v>0</v>
      </c>
      <c r="N7" s="85">
        <v>0</v>
      </c>
      <c r="O7" s="19"/>
      <c r="P7" s="64">
        <f t="shared" ref="P7:P38" si="0">EXP(-r_Delta_t * I7)</f>
        <v>1</v>
      </c>
      <c r="Q7" s="12"/>
      <c r="R7" s="13">
        <v>0.5</v>
      </c>
      <c r="S7" s="13"/>
      <c r="T7" s="65">
        <f>P7*R7</f>
        <v>0.5</v>
      </c>
      <c r="V7" s="55">
        <f>T7*($E$9*J7+$E$10*K7+$E$11*L7+$E$12*M7*$E$13*N7)</f>
        <v>0</v>
      </c>
      <c r="W7" s="11"/>
      <c r="X7" s="76">
        <f>T7*($F$9*J7+$F$10*K7+$F$11*L7+$F$12*M7+$F$13*N7)</f>
        <v>0.5</v>
      </c>
      <c r="Y7" s="77"/>
      <c r="Z7" s="76">
        <f>T7*($G$9*J7+$G$10*K7+$G$11*L7+$G$12*M7+$G$13*N7)</f>
        <v>0</v>
      </c>
      <c r="AB7" s="74">
        <v>69.107567919999994</v>
      </c>
      <c r="AC7" s="2">
        <f>(1/r_ann)*(1-EXP(-r_ann*AB7))</f>
        <v>29.140692274277946</v>
      </c>
      <c r="AD7" s="2">
        <f>0</f>
        <v>0</v>
      </c>
      <c r="AE7" s="57">
        <f>R7*AC7*AD7</f>
        <v>0</v>
      </c>
      <c r="AG7" s="93"/>
      <c r="AH7" s="125"/>
      <c r="AI7" s="126"/>
      <c r="AJ7" s="127" t="s">
        <v>101</v>
      </c>
      <c r="AK7" s="127"/>
      <c r="AL7" s="127"/>
    </row>
    <row r="8" spans="2:38" ht="17" thickBot="1" x14ac:dyDescent="0.25">
      <c r="C8" s="81" t="s">
        <v>6</v>
      </c>
      <c r="D8" s="81" t="s">
        <v>104</v>
      </c>
      <c r="E8" s="81" t="s">
        <v>105</v>
      </c>
      <c r="F8" s="81" t="s">
        <v>106</v>
      </c>
      <c r="G8" s="81" t="s">
        <v>107</v>
      </c>
      <c r="I8" s="56">
        <f>I7+1</f>
        <v>1</v>
      </c>
      <c r="J8" s="19">
        <f>J7*$C$18+K7*$C$19+L7*$C$20+M7*$C$21+N7*$C$22</f>
        <v>0.94176453358424861</v>
      </c>
      <c r="K8" s="19">
        <f>J7*$D$18+K7*$D$19+L7*$D$20+M7*$D$21+N7*$D$22</f>
        <v>4.5031420643994999E-2</v>
      </c>
      <c r="L8" s="19">
        <f>J7*$E$18+K7*$E$19+L7*$E$20+M7*$E$21+N7*$E$22</f>
        <v>2.7609199376632402E-3</v>
      </c>
      <c r="M8" s="19">
        <f>J7*$F$18+K7*$F$19+L7*$F$20+M7*$F$21+N7*$F$22</f>
        <v>9.9485170055332601E-3</v>
      </c>
      <c r="N8" s="85">
        <f>J7*$G$18+K7*$G$19+L7*$G$20+M7*$G$21+N7*$G$22</f>
        <v>4.9460882855984205E-4</v>
      </c>
      <c r="O8" s="19"/>
      <c r="P8" s="64">
        <f t="shared" si="0"/>
        <v>0.97044553354850815</v>
      </c>
      <c r="Q8" s="12"/>
      <c r="R8" s="12">
        <v>1</v>
      </c>
      <c r="S8" s="12"/>
      <c r="T8" s="65">
        <f t="shared" ref="T8:T66" si="1">P8*R8</f>
        <v>0.97044553354850815</v>
      </c>
      <c r="V8" s="55">
        <f t="shared" ref="V8:V66" si="2">T8*($E$9*J8+$E$10*K8+$E$11*L8+$E$12*M8*$E$13*N8)</f>
        <v>67.611131259409404</v>
      </c>
      <c r="W8" s="11"/>
      <c r="X8" s="76">
        <f t="shared" ref="X8:X66" si="3">T8*($F$9*J8+$F$10*K8+$F$11*L8+$F$12*M8+$F$13*N8)</f>
        <v>0.95759015719046392</v>
      </c>
      <c r="Y8" s="77"/>
      <c r="Z8" s="76">
        <f t="shared" ref="Z8:Z66" si="4">T8*($G$9*J8+$G$10*K8+$G$11*L8+$G$12*M8+$G$13*N8)</f>
        <v>4.8330602104928672E-3</v>
      </c>
      <c r="AB8" s="74">
        <v>68.115914398000001</v>
      </c>
      <c r="AC8" s="2">
        <f t="shared" ref="AC8:AC66" si="5">(1/r_ann)*(1-EXP(-r_ann*AB8))</f>
        <v>29.014088994539382</v>
      </c>
      <c r="AD8" s="2">
        <f t="shared" ref="AD8:AD39" si="6">N8-N7</f>
        <v>4.9460882855984205E-4</v>
      </c>
      <c r="AE8" s="57">
        <f t="shared" ref="AE8:AE66" si="7">R8*AC8*AD8</f>
        <v>1.4350624569320129E-2</v>
      </c>
      <c r="AG8" s="93"/>
      <c r="AH8" s="94" t="s">
        <v>135</v>
      </c>
      <c r="AI8" s="94" t="s">
        <v>136</v>
      </c>
      <c r="AJ8" s="60" t="s">
        <v>137</v>
      </c>
      <c r="AK8" s="60" t="s">
        <v>138</v>
      </c>
      <c r="AL8" s="60" t="s">
        <v>139</v>
      </c>
    </row>
    <row r="9" spans="2:38" x14ac:dyDescent="0.2">
      <c r="C9" s="82" t="s">
        <v>73</v>
      </c>
      <c r="D9" s="82" t="s">
        <v>1</v>
      </c>
      <c r="E9" s="82">
        <f>c_Healthy</f>
        <v>0</v>
      </c>
      <c r="F9" s="82">
        <f>uHealthy</f>
        <v>1</v>
      </c>
      <c r="G9" s="82">
        <v>0</v>
      </c>
      <c r="I9" s="56">
        <f t="shared" ref="I9:I10" si="8">I8+1</f>
        <v>2</v>
      </c>
      <c r="J9" s="19">
        <f>J8*$C$18+K8*$C$19+L8*$C$20+M8*$C$21+N8*$C$22</f>
        <v>0.88692043671715737</v>
      </c>
      <c r="K9" s="19">
        <f>J8*$D$18+K8*$D$19+L8*$D$20+M8*$D$21+N8*$D$22</f>
        <v>8.1624125773560915E-2</v>
      </c>
      <c r="L9" s="19">
        <f>J8*$E$18+K8*$E$19+L8*$E$20+M8*$E$21+N8*$E$22</f>
        <v>1.0209916140363361E-2</v>
      </c>
      <c r="M9" s="19">
        <f>J8*$F$18+K8*$F$19+L8*$F$20+M8*$F$21+N8*$F$22</f>
        <v>1.9788283054324569E-2</v>
      </c>
      <c r="N9" s="85">
        <f>J8*$G$18+K8*$G$19+L8*$G$20+M8*$G$21+N8*$G$22</f>
        <v>1.4572383145937354E-3</v>
      </c>
      <c r="O9" s="19"/>
      <c r="P9" s="64">
        <f t="shared" si="0"/>
        <v>0.94176453358424872</v>
      </c>
      <c r="Q9" s="12"/>
      <c r="R9" s="12">
        <v>1</v>
      </c>
      <c r="S9" s="12"/>
      <c r="T9" s="65">
        <f t="shared" si="1"/>
        <v>0.94176453358424872</v>
      </c>
      <c r="V9" s="55">
        <f t="shared" si="2"/>
        <v>130.69579802217612</v>
      </c>
      <c r="W9" s="11"/>
      <c r="X9" s="76">
        <f t="shared" si="3"/>
        <v>0.91598965234220442</v>
      </c>
      <c r="Y9" s="77"/>
      <c r="Z9" s="76">
        <f t="shared" si="4"/>
        <v>9.4674167592141544E-3</v>
      </c>
      <c r="AB9" s="74">
        <v>67.124260875999994</v>
      </c>
      <c r="AC9" s="2">
        <f t="shared" si="5"/>
        <v>28.883662733006101</v>
      </c>
      <c r="AD9" s="2">
        <f t="shared" si="6"/>
        <v>9.6262948603389336E-4</v>
      </c>
      <c r="AE9" s="57">
        <f t="shared" si="7"/>
        <v>2.7804265411449983E-2</v>
      </c>
      <c r="AG9" s="93"/>
      <c r="AH9" s="61">
        <f>SUM(V7:V66)</f>
        <v>19305.268563551799</v>
      </c>
      <c r="AI9" s="62">
        <f>SUM(X7:X66)</f>
        <v>19.066296895589652</v>
      </c>
      <c r="AJ9" s="62">
        <f>SUM(Z7:Z66)</f>
        <v>1.5316297996204378</v>
      </c>
      <c r="AK9" s="62">
        <f>SUM(AE7:AE66)</f>
        <v>6.420337589783025</v>
      </c>
      <c r="AL9" s="62">
        <f>AJ9+AK9</f>
        <v>7.951967389403463</v>
      </c>
    </row>
    <row r="10" spans="2:38" x14ac:dyDescent="0.2">
      <c r="C10" s="83" t="s">
        <v>73</v>
      </c>
      <c r="D10" s="83" t="s">
        <v>3</v>
      </c>
      <c r="E10" s="98">
        <f>c_Sick+c_TxD</f>
        <v>1400</v>
      </c>
      <c r="F10" s="83">
        <f>uS1_</f>
        <v>0.95</v>
      </c>
      <c r="G10" s="83">
        <f>dwS1_</f>
        <v>9.8514888171639503E-2</v>
      </c>
      <c r="I10" s="56">
        <f t="shared" si="8"/>
        <v>3</v>
      </c>
      <c r="J10" s="19">
        <f t="shared" ref="J10:J66" si="9">J9*$C$18+K9*$C$19+L9*$C$20+M9*$C$21+N9*$C$22</f>
        <v>0.83527021141127178</v>
      </c>
      <c r="K10" s="19">
        <f t="shared" ref="K10:K66" si="10">J9*$D$18+K9*$D$19+L9*$D$20+M9*$D$21+N9*$D$22</f>
        <v>0.11102078396488503</v>
      </c>
      <c r="L10" s="19">
        <f t="shared" ref="L10:L66" si="11">J9*$E$18+K9*$E$19+L9*$E$20+M9*$E$21+N9*$E$22</f>
        <v>2.1320126013197306E-2</v>
      </c>
      <c r="M10" s="19">
        <f t="shared" ref="M10:M66" si="12">J9*$F$18+K9*$F$19+L9*$F$20+M9*$F$21+N9*$F$22</f>
        <v>2.9515874836751887E-2</v>
      </c>
      <c r="N10" s="85">
        <f t="shared" ref="N10:N66" si="13">J9*$G$18+K9*$G$19+L9*$G$20+M9*$G$21+N9*$G$22</f>
        <v>2.8730037738938941E-3</v>
      </c>
      <c r="O10" s="19"/>
      <c r="P10" s="64">
        <f t="shared" si="0"/>
        <v>0.91393118527122819</v>
      </c>
      <c r="Q10" s="12"/>
      <c r="R10" s="12">
        <v>1</v>
      </c>
      <c r="S10" s="12"/>
      <c r="T10" s="65">
        <f t="shared" si="1"/>
        <v>0.91393118527122819</v>
      </c>
      <c r="V10" s="55">
        <f t="shared" si="2"/>
        <v>188.81580663997173</v>
      </c>
      <c r="W10" s="11"/>
      <c r="X10" s="76">
        <f t="shared" si="3"/>
        <v>0.87535968561158151</v>
      </c>
      <c r="Y10" s="77"/>
      <c r="Z10" s="76">
        <f t="shared" si="4"/>
        <v>1.3834998685728206E-2</v>
      </c>
      <c r="AB10" s="74">
        <v>66.132607354000001</v>
      </c>
      <c r="AC10" s="2">
        <f t="shared" si="5"/>
        <v>28.749298048831442</v>
      </c>
      <c r="AD10" s="2">
        <f t="shared" si="6"/>
        <v>1.4157654593001587E-3</v>
      </c>
      <c r="AE10" s="57">
        <f t="shared" si="7"/>
        <v>4.0702263156660999E-2</v>
      </c>
      <c r="AG10" s="89"/>
      <c r="AH10" s="5"/>
    </row>
    <row r="11" spans="2:38" x14ac:dyDescent="0.2">
      <c r="C11" s="83" t="s">
        <v>73</v>
      </c>
      <c r="D11" s="83" t="s">
        <v>17</v>
      </c>
      <c r="E11" s="98">
        <f>c_Sicker+c_TxD</f>
        <v>2400</v>
      </c>
      <c r="F11" s="83">
        <f>uS2_</f>
        <v>0.8</v>
      </c>
      <c r="G11" s="83">
        <f>dwS2_</f>
        <v>0.19702977634327901</v>
      </c>
      <c r="I11" s="56">
        <f>I10+1</f>
        <v>4</v>
      </c>
      <c r="J11" s="19">
        <f t="shared" si="9"/>
        <v>0.78662786106655314</v>
      </c>
      <c r="K11" s="19">
        <f t="shared" si="10"/>
        <v>0.13429466623831379</v>
      </c>
      <c r="L11" s="19">
        <f t="shared" si="11"/>
        <v>3.5224980875223119E-2</v>
      </c>
      <c r="M11" s="19">
        <f t="shared" si="12"/>
        <v>3.9128078049034197E-2</v>
      </c>
      <c r="N11" s="85">
        <f t="shared" si="13"/>
        <v>4.7244137708756439E-3</v>
      </c>
      <c r="O11" s="19"/>
      <c r="P11" s="64">
        <f t="shared" si="0"/>
        <v>0.88692043671715748</v>
      </c>
      <c r="Q11" s="12"/>
      <c r="R11" s="12">
        <v>1</v>
      </c>
      <c r="S11" s="12"/>
      <c r="T11" s="65">
        <f t="shared" si="1"/>
        <v>0.88692043671715748</v>
      </c>
      <c r="V11" s="55">
        <f t="shared" si="2"/>
        <v>241.73237065131366</v>
      </c>
      <c r="W11" s="11"/>
      <c r="X11" s="76">
        <f t="shared" si="3"/>
        <v>0.83582298023542256</v>
      </c>
      <c r="Y11" s="77"/>
      <c r="Z11" s="76">
        <f t="shared" si="4"/>
        <v>1.7889534770587013E-2</v>
      </c>
      <c r="AB11" s="74">
        <v>65.140953831999994</v>
      </c>
      <c r="AC11" s="2">
        <f t="shared" si="5"/>
        <v>28.610876015253876</v>
      </c>
      <c r="AD11" s="2">
        <f t="shared" si="6"/>
        <v>1.8514099969817498E-3</v>
      </c>
      <c r="AE11" s="57">
        <f t="shared" si="7"/>
        <v>5.2970461877046397E-2</v>
      </c>
      <c r="AG11" s="89"/>
      <c r="AH11" s="5"/>
    </row>
    <row r="12" spans="2:38" x14ac:dyDescent="0.2">
      <c r="C12" s="83" t="s">
        <v>73</v>
      </c>
      <c r="D12" s="83" t="s">
        <v>52</v>
      </c>
      <c r="E12" s="83">
        <f>c_DeadBG</f>
        <v>0</v>
      </c>
      <c r="F12" s="83">
        <f>uDeadBG</f>
        <v>0</v>
      </c>
      <c r="G12" s="83">
        <f>0</f>
        <v>0</v>
      </c>
      <c r="I12" s="56">
        <f>I11+1</f>
        <v>5</v>
      </c>
      <c r="J12" s="19">
        <f t="shared" si="9"/>
        <v>0.74081822068171754</v>
      </c>
      <c r="K12" s="19">
        <f t="shared" si="10"/>
        <v>0.15237204348874783</v>
      </c>
      <c r="L12" s="19">
        <f t="shared" si="11"/>
        <v>5.119581466749374E-2</v>
      </c>
      <c r="M12" s="19">
        <f t="shared" si="12"/>
        <v>4.8621904621186887E-2</v>
      </c>
      <c r="N12" s="85">
        <f t="shared" si="13"/>
        <v>6.9920165408538446E-3</v>
      </c>
      <c r="O12" s="19"/>
      <c r="P12" s="64">
        <f t="shared" si="0"/>
        <v>0.86070797642505781</v>
      </c>
      <c r="Q12" s="12"/>
      <c r="R12" s="12">
        <v>1</v>
      </c>
      <c r="S12" s="12"/>
      <c r="T12" s="65">
        <f t="shared" si="1"/>
        <v>0.86070797642505781</v>
      </c>
      <c r="V12" s="55">
        <f t="shared" si="2"/>
        <v>289.3621170062695</v>
      </c>
      <c r="W12" s="11"/>
      <c r="X12" s="76">
        <f t="shared" si="3"/>
        <v>0.79747031001108915</v>
      </c>
      <c r="Y12" s="77"/>
      <c r="Z12" s="76">
        <f t="shared" si="4"/>
        <v>2.1602061477797297E-2</v>
      </c>
      <c r="AB12" s="74">
        <v>64.149300310000001</v>
      </c>
      <c r="AC12" s="2">
        <f t="shared" si="5"/>
        <v>28.468274114334424</v>
      </c>
      <c r="AD12" s="2">
        <f t="shared" si="6"/>
        <v>2.2676027699782006E-3</v>
      </c>
      <c r="AE12" s="57">
        <f t="shared" si="7"/>
        <v>6.4554737238163448E-2</v>
      </c>
      <c r="AG12" s="89"/>
      <c r="AH12" s="5"/>
    </row>
    <row r="13" spans="2:38" x14ac:dyDescent="0.2">
      <c r="C13" s="83" t="s">
        <v>73</v>
      </c>
      <c r="D13" s="83" t="s">
        <v>51</v>
      </c>
      <c r="E13" s="83">
        <f>c_DeadDisease</f>
        <v>0</v>
      </c>
      <c r="F13" s="83">
        <f>uDeadDisease</f>
        <v>0</v>
      </c>
      <c r="G13" s="83">
        <f>0</f>
        <v>0</v>
      </c>
      <c r="I13" s="56">
        <f t="shared" ref="I13:I66" si="14">I12+1</f>
        <v>6</v>
      </c>
      <c r="J13" s="19">
        <f t="shared" si="9"/>
        <v>0.69767632607103069</v>
      </c>
      <c r="K13" s="19">
        <f t="shared" si="10"/>
        <v>0.1660516608867551</v>
      </c>
      <c r="L13" s="19">
        <f t="shared" si="11"/>
        <v>6.8622464892773016E-2</v>
      </c>
      <c r="M13" s="19">
        <f t="shared" si="12"/>
        <v>5.7994604393417998E-2</v>
      </c>
      <c r="N13" s="85">
        <f t="shared" si="13"/>
        <v>9.6549437560230125E-3</v>
      </c>
      <c r="O13" s="19"/>
      <c r="P13" s="64">
        <f t="shared" si="0"/>
        <v>0.835270211411272</v>
      </c>
      <c r="Q13" s="12"/>
      <c r="R13" s="12">
        <v>1</v>
      </c>
      <c r="S13" s="12"/>
      <c r="T13" s="65">
        <f t="shared" si="1"/>
        <v>0.835270211411272</v>
      </c>
      <c r="V13" s="55">
        <f t="shared" si="2"/>
        <v>331.74113007221973</v>
      </c>
      <c r="W13" s="11"/>
      <c r="X13" s="76">
        <f t="shared" si="3"/>
        <v>0.76036599858019771</v>
      </c>
      <c r="Y13" s="77"/>
      <c r="Z13" s="76">
        <f t="shared" si="4"/>
        <v>2.4957230519117708E-2</v>
      </c>
      <c r="AB13" s="74">
        <v>63.158695668</v>
      </c>
      <c r="AC13" s="2">
        <f t="shared" si="5"/>
        <v>28.321523834599102</v>
      </c>
      <c r="AD13" s="2">
        <f t="shared" si="6"/>
        <v>2.6629272151691679E-3</v>
      </c>
      <c r="AE13" s="57">
        <f t="shared" si="7"/>
        <v>7.5418156594216204E-2</v>
      </c>
      <c r="AG13" s="89"/>
    </row>
    <row r="14" spans="2:38" x14ac:dyDescent="0.2">
      <c r="I14" s="56">
        <f t="shared" si="14"/>
        <v>7</v>
      </c>
      <c r="J14" s="19">
        <f t="shared" si="9"/>
        <v>0.65704681981505642</v>
      </c>
      <c r="K14" s="19">
        <f t="shared" si="10"/>
        <v>0.17602166854737589</v>
      </c>
      <c r="L14" s="19">
        <f t="shared" si="11"/>
        <v>8.6996473429511723E-2</v>
      </c>
      <c r="M14" s="19">
        <f t="shared" si="12"/>
        <v>6.7243672170127125E-2</v>
      </c>
      <c r="N14" s="85">
        <f t="shared" si="13"/>
        <v>1.2691366037928666E-2</v>
      </c>
      <c r="O14" s="19"/>
      <c r="P14" s="64">
        <f t="shared" si="0"/>
        <v>0.81058424597018708</v>
      </c>
      <c r="Q14" s="12"/>
      <c r="R14" s="12">
        <v>1</v>
      </c>
      <c r="S14" s="12"/>
      <c r="T14" s="65">
        <f t="shared" si="1"/>
        <v>0.81058424597018708</v>
      </c>
      <c r="V14" s="55">
        <f t="shared" si="2"/>
        <v>368.99567802406727</v>
      </c>
      <c r="W14" s="11"/>
      <c r="X14" s="76">
        <f t="shared" si="3"/>
        <v>0.72455254956063231</v>
      </c>
      <c r="Y14" s="77"/>
      <c r="Z14" s="76">
        <f t="shared" si="4"/>
        <v>2.7950282828576752E-2</v>
      </c>
      <c r="AB14" s="74">
        <v>62.168091025999999</v>
      </c>
      <c r="AC14" s="2">
        <f t="shared" si="5"/>
        <v>28.17034696031828</v>
      </c>
      <c r="AD14" s="2">
        <f t="shared" si="6"/>
        <v>3.0364222819056538E-3</v>
      </c>
      <c r="AE14" s="57">
        <f t="shared" si="7"/>
        <v>8.5537069199323634E-2</v>
      </c>
      <c r="AG14" s="89"/>
    </row>
    <row r="15" spans="2:38" x14ac:dyDescent="0.2">
      <c r="B15" s="53" t="s">
        <v>98</v>
      </c>
      <c r="I15" s="56">
        <f t="shared" si="14"/>
        <v>8</v>
      </c>
      <c r="J15" s="19">
        <f t="shared" si="9"/>
        <v>0.61878339180614039</v>
      </c>
      <c r="K15" s="19">
        <f t="shared" si="10"/>
        <v>0.18287433867104289</v>
      </c>
      <c r="L15" s="19">
        <f t="shared" si="11"/>
        <v>0.10589654588329572</v>
      </c>
      <c r="M15" s="19">
        <f t="shared" si="12"/>
        <v>7.6366850947853684E-2</v>
      </c>
      <c r="N15" s="85">
        <f t="shared" si="13"/>
        <v>1.6078872691667023E-2</v>
      </c>
      <c r="O15" s="19"/>
      <c r="P15" s="64">
        <f t="shared" si="0"/>
        <v>0.78662786106655347</v>
      </c>
      <c r="Q15" s="12"/>
      <c r="R15" s="12">
        <v>1</v>
      </c>
      <c r="S15" s="12"/>
      <c r="T15" s="65">
        <f t="shared" si="1"/>
        <v>0.78662786106655347</v>
      </c>
      <c r="V15" s="55">
        <f t="shared" si="2"/>
        <v>401.31848593989946</v>
      </c>
      <c r="W15" s="11"/>
      <c r="X15" s="76">
        <f t="shared" si="3"/>
        <v>0.69005454204510663</v>
      </c>
      <c r="Y15" s="77"/>
      <c r="Z15" s="76">
        <f t="shared" si="4"/>
        <v>3.0584577196941951E-2</v>
      </c>
      <c r="AB15" s="74">
        <v>61.177486383999998</v>
      </c>
      <c r="AC15" s="2">
        <f t="shared" si="5"/>
        <v>28.01460996711771</v>
      </c>
      <c r="AD15" s="2">
        <f t="shared" si="6"/>
        <v>3.387506653738357E-3</v>
      </c>
      <c r="AE15" s="57">
        <f t="shared" si="7"/>
        <v>9.4899677665496146E-2</v>
      </c>
      <c r="AG15" s="89"/>
    </row>
    <row r="16" spans="2:38" x14ac:dyDescent="0.2">
      <c r="C16" s="111" t="s">
        <v>99</v>
      </c>
      <c r="D16" s="111"/>
      <c r="E16" s="111"/>
      <c r="F16" s="111"/>
      <c r="G16" s="111"/>
      <c r="I16" s="56">
        <f t="shared" si="14"/>
        <v>9</v>
      </c>
      <c r="J16" s="19">
        <f t="shared" si="9"/>
        <v>0.5827482523739892</v>
      </c>
      <c r="K16" s="19">
        <f t="shared" si="10"/>
        <v>0.18711885661527336</v>
      </c>
      <c r="L16" s="19">
        <f t="shared" si="11"/>
        <v>0.12497597254972183</v>
      </c>
      <c r="M16" s="19">
        <f t="shared" si="12"/>
        <v>8.5362131998617335E-2</v>
      </c>
      <c r="N16" s="85">
        <f t="shared" si="13"/>
        <v>1.9794786462397983E-2</v>
      </c>
      <c r="O16" s="19"/>
      <c r="P16" s="64">
        <f t="shared" si="0"/>
        <v>0.76337949433685315</v>
      </c>
      <c r="Q16" s="12"/>
      <c r="R16" s="12">
        <v>1</v>
      </c>
      <c r="S16" s="12"/>
      <c r="T16" s="65">
        <f t="shared" si="1"/>
        <v>0.76337949433685315</v>
      </c>
      <c r="V16" s="55">
        <f t="shared" si="2"/>
        <v>428.94960475163197</v>
      </c>
      <c r="W16" s="11"/>
      <c r="X16" s="76">
        <f t="shared" si="3"/>
        <v>0.65688190524301582</v>
      </c>
      <c r="Y16" s="77"/>
      <c r="Z16" s="76">
        <f t="shared" si="4"/>
        <v>3.2869579880517093E-2</v>
      </c>
      <c r="AB16" s="74">
        <v>60.186881741999997</v>
      </c>
      <c r="AC16" s="2">
        <f t="shared" si="5"/>
        <v>27.854175302976561</v>
      </c>
      <c r="AD16" s="2">
        <f t="shared" si="6"/>
        <v>3.7159137707309595E-3</v>
      </c>
      <c r="AE16" s="57">
        <f t="shared" si="7"/>
        <v>0.1035037135806848</v>
      </c>
      <c r="AG16" s="89"/>
    </row>
    <row r="17" spans="1:33" x14ac:dyDescent="0.2">
      <c r="C17" s="2" t="s">
        <v>1</v>
      </c>
      <c r="D17" s="2" t="s">
        <v>3</v>
      </c>
      <c r="E17" s="2" t="s">
        <v>17</v>
      </c>
      <c r="F17" s="2" t="s">
        <v>52</v>
      </c>
      <c r="G17" s="2" t="s">
        <v>51</v>
      </c>
      <c r="I17" s="56">
        <f t="shared" si="14"/>
        <v>10</v>
      </c>
      <c r="J17" s="19">
        <f t="shared" si="9"/>
        <v>0.54881163609402595</v>
      </c>
      <c r="K17" s="19">
        <f t="shared" si="10"/>
        <v>0.18919243613670744</v>
      </c>
      <c r="L17" s="19">
        <f t="shared" si="11"/>
        <v>0.14395175271841507</v>
      </c>
      <c r="M17" s="19">
        <f t="shared" si="12"/>
        <v>9.4227752390742964E-2</v>
      </c>
      <c r="N17" s="85">
        <f t="shared" si="13"/>
        <v>2.3816422660108263E-2</v>
      </c>
      <c r="O17" s="19"/>
      <c r="P17" s="64">
        <f t="shared" si="0"/>
        <v>0.74081822068171788</v>
      </c>
      <c r="Q17" s="12"/>
      <c r="R17" s="12">
        <v>1</v>
      </c>
      <c r="S17" s="12"/>
      <c r="T17" s="65">
        <f t="shared" si="1"/>
        <v>0.74081822068171788</v>
      </c>
      <c r="V17" s="55">
        <f t="shared" si="2"/>
        <v>452.16108061821933</v>
      </c>
      <c r="W17" s="11"/>
      <c r="X17" s="76">
        <f t="shared" si="3"/>
        <v>0.62503266850086892</v>
      </c>
      <c r="Y17" s="77"/>
      <c r="Z17" s="76">
        <f t="shared" si="4"/>
        <v>3.4819236699030635E-2</v>
      </c>
      <c r="AB17" s="74">
        <v>59.196277100000003</v>
      </c>
      <c r="AC17" s="2">
        <f t="shared" si="5"/>
        <v>27.688901266736913</v>
      </c>
      <c r="AD17" s="2">
        <f t="shared" si="6"/>
        <v>4.0216361977102807E-3</v>
      </c>
      <c r="AE17" s="57">
        <f t="shared" si="7"/>
        <v>0.11135468760913521</v>
      </c>
      <c r="AG17" s="89"/>
    </row>
    <row r="18" spans="1:33" x14ac:dyDescent="0.2">
      <c r="A18" s="112" t="s">
        <v>100</v>
      </c>
      <c r="B18" s="2" t="s">
        <v>1</v>
      </c>
      <c r="C18" s="84" cm="1">
        <f t="array" ref="C18:G22">mP_TxD</f>
        <v>0.94176453358424861</v>
      </c>
      <c r="D18" s="84">
        <v>4.5031420643994999E-2</v>
      </c>
      <c r="E18" s="84">
        <v>2.7609199376632402E-3</v>
      </c>
      <c r="F18" s="84">
        <v>9.9485170055332601E-3</v>
      </c>
      <c r="G18" s="84">
        <v>4.9460882855984205E-4</v>
      </c>
      <c r="I18" s="56">
        <f t="shared" si="14"/>
        <v>11</v>
      </c>
      <c r="J18" s="19">
        <f t="shared" si="9"/>
        <v>0.51685133449169873</v>
      </c>
      <c r="K18" s="19">
        <f t="shared" si="10"/>
        <v>0.18946997663650997</v>
      </c>
      <c r="L18" s="19">
        <f t="shared" si="11"/>
        <v>0.16259519769309025</v>
      </c>
      <c r="M18" s="19">
        <f t="shared" si="12"/>
        <v>0.10296219044341501</v>
      </c>
      <c r="N18" s="85">
        <f t="shared" si="13"/>
        <v>2.8121300735285709E-2</v>
      </c>
      <c r="O18" s="19"/>
      <c r="P18" s="64">
        <f t="shared" si="0"/>
        <v>0.71892373343192617</v>
      </c>
      <c r="Q18" s="12"/>
      <c r="R18" s="12">
        <v>1</v>
      </c>
      <c r="S18" s="12"/>
      <c r="T18" s="65">
        <f t="shared" si="1"/>
        <v>0.71892373343192617</v>
      </c>
      <c r="V18" s="55">
        <f t="shared" si="2"/>
        <v>471.24475992017597</v>
      </c>
      <c r="W18" s="11"/>
      <c r="X18" s="76">
        <f t="shared" si="3"/>
        <v>0.59449526810088082</v>
      </c>
      <c r="Y18" s="77"/>
      <c r="Z18" s="76">
        <f t="shared" si="4"/>
        <v>3.6450661922919805E-2</v>
      </c>
      <c r="AB18" s="74">
        <v>58.207544407999997</v>
      </c>
      <c r="AC18" s="2">
        <f t="shared" si="5"/>
        <v>27.518968418129546</v>
      </c>
      <c r="AD18" s="2">
        <f t="shared" si="6"/>
        <v>4.3048780751774457E-3</v>
      </c>
      <c r="AE18" s="57">
        <f t="shared" si="7"/>
        <v>0.11846580379470643</v>
      </c>
      <c r="AG18" s="89"/>
    </row>
    <row r="19" spans="1:33" x14ac:dyDescent="0.2">
      <c r="A19" s="112"/>
      <c r="B19" s="2" t="s">
        <v>3</v>
      </c>
      <c r="C19" s="84">
        <v>0</v>
      </c>
      <c r="D19" s="84">
        <v>0.87083930183229186</v>
      </c>
      <c r="E19" s="84">
        <v>0.109179777520653</v>
      </c>
      <c r="F19" s="84">
        <v>9.8495952398212992E-3</v>
      </c>
      <c r="G19" s="84">
        <v>1.0131325407233851E-2</v>
      </c>
      <c r="I19" s="56">
        <f t="shared" si="14"/>
        <v>12</v>
      </c>
      <c r="J19" s="19">
        <f t="shared" si="9"/>
        <v>0.48675225595997113</v>
      </c>
      <c r="K19" s="19">
        <f t="shared" si="10"/>
        <v>0.18827245202622483</v>
      </c>
      <c r="L19" s="19">
        <f t="shared" si="11"/>
        <v>0.1807238171853856</v>
      </c>
      <c r="M19" s="19">
        <f t="shared" si="12"/>
        <v>0.11156415953707749</v>
      </c>
      <c r="N19" s="85">
        <f t="shared" si="13"/>
        <v>3.2687315291340571E-2</v>
      </c>
      <c r="O19" s="19"/>
      <c r="P19" s="64">
        <f t="shared" si="0"/>
        <v>0.69767632607103103</v>
      </c>
      <c r="Q19" s="12"/>
      <c r="R19" s="12">
        <v>1</v>
      </c>
      <c r="S19" s="12"/>
      <c r="T19" s="65">
        <f t="shared" si="1"/>
        <v>0.69767632607103103</v>
      </c>
      <c r="V19" s="55">
        <f t="shared" si="2"/>
        <v>486.50267481989533</v>
      </c>
      <c r="W19" s="11"/>
      <c r="X19" s="76">
        <f t="shared" si="3"/>
        <v>0.56525047968942366</v>
      </c>
      <c r="Y19" s="77"/>
      <c r="Z19" s="76">
        <f t="shared" si="4"/>
        <v>3.7783089000315934E-2</v>
      </c>
      <c r="AB19" s="74">
        <v>57.218811715999998</v>
      </c>
      <c r="AC19" s="2">
        <f t="shared" si="5"/>
        <v>27.343919523710113</v>
      </c>
      <c r="AD19" s="2">
        <f t="shared" si="6"/>
        <v>4.5660145560548621E-3</v>
      </c>
      <c r="AE19" s="57">
        <f t="shared" si="7"/>
        <v>0.1248527345648531</v>
      </c>
      <c r="AG19" s="89"/>
    </row>
    <row r="20" spans="1:33" x14ac:dyDescent="0.2">
      <c r="A20" s="112"/>
      <c r="B20" s="2" t="s">
        <v>17</v>
      </c>
      <c r="C20" s="84">
        <v>0</v>
      </c>
      <c r="D20" s="84">
        <v>0</v>
      </c>
      <c r="E20" s="84">
        <v>0.97549339947020197</v>
      </c>
      <c r="F20" s="84">
        <v>9.8026402119192006E-3</v>
      </c>
      <c r="G20" s="84">
        <v>1.47039603178788E-2</v>
      </c>
      <c r="I20" s="56">
        <f t="shared" si="14"/>
        <v>13</v>
      </c>
      <c r="J20" s="19">
        <f t="shared" si="9"/>
        <v>0.45840601130522302</v>
      </c>
      <c r="K20" s="19">
        <f t="shared" si="10"/>
        <v>0.18587419626431828</v>
      </c>
      <c r="L20" s="19">
        <f t="shared" si="11"/>
        <v>0.1981943192250766</v>
      </c>
      <c r="M20" s="19">
        <f t="shared" si="12"/>
        <v>0.12003260063783693</v>
      </c>
      <c r="N20" s="85">
        <f t="shared" si="13"/>
        <v>3.7492872567544792E-2</v>
      </c>
      <c r="O20" s="19"/>
      <c r="P20" s="64">
        <f t="shared" si="0"/>
        <v>0.67705687449816465</v>
      </c>
      <c r="Q20" s="12"/>
      <c r="R20" s="12">
        <v>1</v>
      </c>
      <c r="S20" s="12"/>
      <c r="T20" s="65">
        <f t="shared" si="1"/>
        <v>0.67705687449816465</v>
      </c>
      <c r="V20" s="55">
        <f t="shared" si="2"/>
        <v>498.23954648438144</v>
      </c>
      <c r="W20" s="11"/>
      <c r="X20" s="76">
        <f t="shared" si="3"/>
        <v>0.53727303457369102</v>
      </c>
      <c r="Y20" s="77"/>
      <c r="Z20" s="76">
        <f t="shared" si="4"/>
        <v>3.883703720859337E-2</v>
      </c>
      <c r="AB20" s="74">
        <v>56.230079023999998</v>
      </c>
      <c r="AC20" s="2">
        <f t="shared" si="5"/>
        <v>27.163600558374192</v>
      </c>
      <c r="AD20" s="2">
        <f t="shared" si="6"/>
        <v>4.8055572762042212E-3</v>
      </c>
      <c r="AE20" s="57">
        <f t="shared" si="7"/>
        <v>0.13053623831120015</v>
      </c>
      <c r="AG20" s="89"/>
    </row>
    <row r="21" spans="1:33" x14ac:dyDescent="0.2">
      <c r="A21" s="112"/>
      <c r="B21" s="2" t="s">
        <v>52</v>
      </c>
      <c r="C21" s="84">
        <v>0</v>
      </c>
      <c r="D21" s="84">
        <v>0</v>
      </c>
      <c r="E21" s="84">
        <v>0</v>
      </c>
      <c r="F21" s="84">
        <v>1</v>
      </c>
      <c r="G21" s="84">
        <v>0</v>
      </c>
      <c r="I21" s="56">
        <f t="shared" si="14"/>
        <v>14</v>
      </c>
      <c r="J21" s="19">
        <f t="shared" si="9"/>
        <v>0.43171052342907917</v>
      </c>
      <c r="K21" s="19">
        <f t="shared" si="10"/>
        <v>0.18250922922427873</v>
      </c>
      <c r="L21" s="19">
        <f t="shared" si="11"/>
        <v>0.21489657590767811</v>
      </c>
      <c r="M21" s="19">
        <f t="shared" si="12"/>
        <v>0.12836667383888595</v>
      </c>
      <c r="N21" s="85">
        <f t="shared" si="13"/>
        <v>4.2516997600077648E-2</v>
      </c>
      <c r="O21" s="19"/>
      <c r="P21" s="64">
        <f t="shared" si="0"/>
        <v>0.65704681981505675</v>
      </c>
      <c r="Q21" s="12"/>
      <c r="R21" s="12">
        <v>1</v>
      </c>
      <c r="S21" s="12"/>
      <c r="T21" s="65">
        <f t="shared" si="1"/>
        <v>0.65704681981505675</v>
      </c>
      <c r="V21" s="55">
        <f t="shared" si="2"/>
        <v>506.757020402477</v>
      </c>
      <c r="W21" s="11"/>
      <c r="X21" s="76">
        <f t="shared" si="3"/>
        <v>0.51053296914747204</v>
      </c>
      <c r="Y21" s="77"/>
      <c r="Z21" s="76">
        <f t="shared" si="4"/>
        <v>3.9633655904553727E-2</v>
      </c>
      <c r="AB21" s="74">
        <v>55.241346331999999</v>
      </c>
      <c r="AC21" s="2">
        <f t="shared" si="5"/>
        <v>26.977852859894536</v>
      </c>
      <c r="AD21" s="2">
        <f t="shared" si="6"/>
        <v>5.0241250325328557E-3</v>
      </c>
      <c r="AE21" s="57">
        <f t="shared" si="7"/>
        <v>0.13554010587738424</v>
      </c>
      <c r="AG21" s="89"/>
    </row>
    <row r="22" spans="1:33" x14ac:dyDescent="0.2">
      <c r="A22" s="112"/>
      <c r="B22" s="2" t="s">
        <v>51</v>
      </c>
      <c r="C22" s="84">
        <v>0</v>
      </c>
      <c r="D22" s="84">
        <v>0</v>
      </c>
      <c r="E22" s="84">
        <v>0</v>
      </c>
      <c r="F22" s="84">
        <v>0</v>
      </c>
      <c r="G22" s="84">
        <v>1</v>
      </c>
      <c r="I22" s="56">
        <f t="shared" si="14"/>
        <v>15</v>
      </c>
      <c r="J22" s="19">
        <f t="shared" si="9"/>
        <v>0.40656965974059855</v>
      </c>
      <c r="K22" s="19">
        <f t="shared" si="10"/>
        <v>0.17837674793259473</v>
      </c>
      <c r="L22" s="19">
        <f t="shared" si="11"/>
        <v>0.23074842660029421</v>
      </c>
      <c r="M22" s="19">
        <f t="shared" si="12"/>
        <v>0.13656574917447506</v>
      </c>
      <c r="N22" s="85">
        <f t="shared" si="13"/>
        <v>4.7739416552036992E-2</v>
      </c>
      <c r="O22" s="19"/>
      <c r="P22" s="64">
        <f t="shared" si="0"/>
        <v>0.63762815162177333</v>
      </c>
      <c r="Q22" s="12"/>
      <c r="R22" s="12">
        <v>1</v>
      </c>
      <c r="S22" s="12"/>
      <c r="T22" s="65">
        <f t="shared" si="1"/>
        <v>0.63762815162177333</v>
      </c>
      <c r="V22" s="55">
        <f t="shared" si="2"/>
        <v>512.34931308985608</v>
      </c>
      <c r="W22" s="11"/>
      <c r="X22" s="76">
        <f t="shared" si="3"/>
        <v>0.48499674911284879</v>
      </c>
      <c r="Y22" s="77"/>
      <c r="Z22" s="76">
        <f t="shared" si="4"/>
        <v>4.0194214419062138E-2</v>
      </c>
      <c r="AB22" s="74">
        <v>54.25261364</v>
      </c>
      <c r="AC22" s="2">
        <f t="shared" si="5"/>
        <v>26.786512989314577</v>
      </c>
      <c r="AD22" s="2">
        <f t="shared" si="6"/>
        <v>5.2224189519593442E-3</v>
      </c>
      <c r="AE22" s="57">
        <f t="shared" si="7"/>
        <v>0.13989039309230158</v>
      </c>
      <c r="AG22" s="89"/>
    </row>
    <row r="23" spans="1:33" x14ac:dyDescent="0.2">
      <c r="I23" s="56">
        <f t="shared" si="14"/>
        <v>16</v>
      </c>
      <c r="J23" s="19">
        <f t="shared" si="9"/>
        <v>0.38289288597511145</v>
      </c>
      <c r="K23" s="19">
        <f t="shared" si="10"/>
        <v>0.1736458920016003</v>
      </c>
      <c r="L23" s="19">
        <f t="shared" si="11"/>
        <v>0.24569120702048644</v>
      </c>
      <c r="M23" s="19">
        <f t="shared" si="12"/>
        <v>0.14462939692109911</v>
      </c>
      <c r="N23" s="85">
        <f t="shared" si="13"/>
        <v>5.3140618081702201E-2</v>
      </c>
      <c r="O23" s="19"/>
      <c r="P23" s="64">
        <f t="shared" si="0"/>
        <v>0.61878339180614084</v>
      </c>
      <c r="Q23" s="12"/>
      <c r="R23" s="12">
        <v>1</v>
      </c>
      <c r="S23" s="12"/>
      <c r="T23" s="65">
        <f t="shared" si="1"/>
        <v>0.61878339180614084</v>
      </c>
      <c r="V23" s="55">
        <f t="shared" si="2"/>
        <v>515.30000383732954</v>
      </c>
      <c r="W23" s="11"/>
      <c r="X23" s="76">
        <f t="shared" si="3"/>
        <v>0.46062820374044183</v>
      </c>
      <c r="Y23" s="77"/>
      <c r="Z23" s="76">
        <f t="shared" si="4"/>
        <v>4.0539710988466676E-2</v>
      </c>
      <c r="AB23" s="74">
        <v>53.265569534000001</v>
      </c>
      <c r="AC23" s="2">
        <f t="shared" si="5"/>
        <v>26.589754209190609</v>
      </c>
      <c r="AD23" s="2">
        <f t="shared" si="6"/>
        <v>5.4012015296652088E-3</v>
      </c>
      <c r="AE23" s="57">
        <f t="shared" si="7"/>
        <v>0.14361662110810225</v>
      </c>
      <c r="AG23" s="89"/>
    </row>
    <row r="24" spans="1:33" x14ac:dyDescent="0.2">
      <c r="I24" s="56">
        <f t="shared" si="14"/>
        <v>17</v>
      </c>
      <c r="J24" s="19">
        <f t="shared" si="9"/>
        <v>0.36059494017307775</v>
      </c>
      <c r="K24" s="19">
        <f t="shared" si="10"/>
        <v>0.16845987796665762</v>
      </c>
      <c r="L24" s="19">
        <f t="shared" si="11"/>
        <v>0.25968590721533963</v>
      </c>
      <c r="M24" s="19">
        <f t="shared" si="12"/>
        <v>0.15255737756544768</v>
      </c>
      <c r="N24" s="85">
        <f t="shared" si="13"/>
        <v>5.8701897079476824E-2</v>
      </c>
      <c r="O24" s="19"/>
      <c r="P24" s="64">
        <f t="shared" si="0"/>
        <v>0.6004955788122659</v>
      </c>
      <c r="Q24" s="12"/>
      <c r="R24" s="12">
        <v>1</v>
      </c>
      <c r="S24" s="12"/>
      <c r="T24" s="65">
        <f t="shared" si="1"/>
        <v>0.6004955788122659</v>
      </c>
      <c r="V24" s="55">
        <f t="shared" si="2"/>
        <v>515.87975068711739</v>
      </c>
      <c r="W24" s="11"/>
      <c r="X24" s="76">
        <f t="shared" si="3"/>
        <v>0.43738929997605785</v>
      </c>
      <c r="Y24" s="77"/>
      <c r="Z24" s="76">
        <f t="shared" si="4"/>
        <v>4.069057859855861E-2</v>
      </c>
      <c r="AB24" s="74">
        <v>52.278525428000002</v>
      </c>
      <c r="AC24" s="2">
        <f t="shared" si="5"/>
        <v>26.387082021408954</v>
      </c>
      <c r="AD24" s="2">
        <f t="shared" si="6"/>
        <v>5.5612789977746227E-3</v>
      </c>
      <c r="AE24" s="57">
        <f t="shared" si="7"/>
        <v>0.14674592505821796</v>
      </c>
      <c r="AG24" s="89"/>
    </row>
    <row r="25" spans="1:33" x14ac:dyDescent="0.2">
      <c r="I25" s="56">
        <f t="shared" si="14"/>
        <v>18</v>
      </c>
      <c r="J25" s="19">
        <f t="shared" si="9"/>
        <v>0.33959552564493861</v>
      </c>
      <c r="K25" s="19">
        <f t="shared" si="10"/>
        <v>0.16293958494826727</v>
      </c>
      <c r="L25" s="19">
        <f t="shared" si="11"/>
        <v>0.2727098741812955</v>
      </c>
      <c r="M25" s="19">
        <f t="shared" si="12"/>
        <v>0.16034963158852786</v>
      </c>
      <c r="N25" s="85">
        <f t="shared" si="13"/>
        <v>6.4405383636970265E-2</v>
      </c>
      <c r="O25" s="19"/>
      <c r="P25" s="64">
        <f t="shared" si="0"/>
        <v>0.58274825237398964</v>
      </c>
      <c r="Q25" s="12"/>
      <c r="R25" s="12">
        <v>1</v>
      </c>
      <c r="S25" s="12"/>
      <c r="T25" s="65">
        <f t="shared" si="1"/>
        <v>0.58274825237398964</v>
      </c>
      <c r="V25" s="55">
        <f t="shared" si="2"/>
        <v>514.34474792187768</v>
      </c>
      <c r="W25" s="11"/>
      <c r="X25" s="76">
        <f t="shared" si="3"/>
        <v>0.41524078160362748</v>
      </c>
      <c r="Y25" s="77"/>
      <c r="Z25" s="76">
        <f t="shared" si="4"/>
        <v>4.0666469373907881E-2</v>
      </c>
      <c r="AB25" s="74">
        <v>51.291481322000003</v>
      </c>
      <c r="AC25" s="2">
        <f t="shared" si="5"/>
        <v>26.178318703836414</v>
      </c>
      <c r="AD25" s="2">
        <f t="shared" si="6"/>
        <v>5.703486557493441E-3</v>
      </c>
      <c r="AE25" s="57">
        <f t="shared" si="7"/>
        <v>0.14930768882511011</v>
      </c>
      <c r="AG25" s="89"/>
    </row>
    <row r="26" spans="1:33" x14ac:dyDescent="0.2">
      <c r="I26" s="56">
        <f t="shared" si="14"/>
        <v>19</v>
      </c>
      <c r="J26" s="19">
        <f t="shared" si="9"/>
        <v>0.31981902181630334</v>
      </c>
      <c r="K26" s="19">
        <f t="shared" si="10"/>
        <v>0.1571866633613283</v>
      </c>
      <c r="L26" s="19">
        <f t="shared" si="11"/>
        <v>0.28475398592565671</v>
      </c>
      <c r="M26" s="19">
        <f t="shared" si="12"/>
        <v>0.16800626918953143</v>
      </c>
      <c r="N26" s="85">
        <f t="shared" si="13"/>
        <v>7.0234059707179677E-2</v>
      </c>
      <c r="O26" s="19"/>
      <c r="P26" s="64">
        <f t="shared" si="0"/>
        <v>0.56552543869953709</v>
      </c>
      <c r="Q26" s="12"/>
      <c r="R26" s="12">
        <v>1</v>
      </c>
      <c r="S26" s="12"/>
      <c r="T26" s="65">
        <f t="shared" si="1"/>
        <v>0.56552543869953709</v>
      </c>
      <c r="V26" s="55">
        <f t="shared" si="2"/>
        <v>510.93577420610148</v>
      </c>
      <c r="W26" s="11"/>
      <c r="X26" s="76">
        <f t="shared" si="3"/>
        <v>0.39414269478413588</v>
      </c>
      <c r="Y26" s="77"/>
      <c r="Z26" s="76">
        <f t="shared" si="4"/>
        <v>4.0486102291425616E-2</v>
      </c>
      <c r="AB26" s="74">
        <v>50.304437215999997</v>
      </c>
      <c r="AC26" s="2">
        <f t="shared" si="5"/>
        <v>25.963281193061409</v>
      </c>
      <c r="AD26" s="2">
        <f t="shared" si="6"/>
        <v>5.8286760702094126E-3</v>
      </c>
      <c r="AE26" s="57">
        <f t="shared" si="7"/>
        <v>0.15133155579411511</v>
      </c>
      <c r="AG26" s="89"/>
    </row>
    <row r="27" spans="1:33" x14ac:dyDescent="0.2">
      <c r="I27" s="56">
        <f t="shared" si="14"/>
        <v>20</v>
      </c>
      <c r="J27" s="19">
        <f t="shared" si="9"/>
        <v>0.30119421191220153</v>
      </c>
      <c r="K27" s="19">
        <f t="shared" si="10"/>
        <v>0.1512862290802876</v>
      </c>
      <c r="L27" s="19">
        <f t="shared" si="11"/>
        <v>0.29582023339208907</v>
      </c>
      <c r="M27" s="19">
        <f t="shared" si="12"/>
        <v>0.17552756005091019</v>
      </c>
      <c r="N27" s="85">
        <f t="shared" si="13"/>
        <v>7.617176556451101E-2</v>
      </c>
      <c r="O27" s="19"/>
      <c r="P27" s="64">
        <f t="shared" si="0"/>
        <v>0.54881163609402639</v>
      </c>
      <c r="Q27" s="12"/>
      <c r="R27" s="12">
        <v>1</v>
      </c>
      <c r="S27" s="12"/>
      <c r="T27" s="65">
        <f t="shared" si="1"/>
        <v>0.54881163609402639</v>
      </c>
      <c r="V27" s="55">
        <f t="shared" si="2"/>
        <v>505.87770712637757</v>
      </c>
      <c r="W27" s="11"/>
      <c r="X27" s="76">
        <f t="shared" si="3"/>
        <v>0.37405481799873541</v>
      </c>
      <c r="Y27" s="77"/>
      <c r="Z27" s="76">
        <f t="shared" si="4"/>
        <v>4.0167161629158225E-2</v>
      </c>
      <c r="AB27" s="74">
        <v>49.317393109999998</v>
      </c>
      <c r="AC27" s="2">
        <f t="shared" si="5"/>
        <v>25.741780923866642</v>
      </c>
      <c r="AD27" s="2">
        <f t="shared" si="6"/>
        <v>5.9377058573313324E-3</v>
      </c>
      <c r="AE27" s="57">
        <f t="shared" si="7"/>
        <v>0.15284712336978293</v>
      </c>
      <c r="AG27" s="89"/>
    </row>
    <row r="28" spans="1:33" x14ac:dyDescent="0.2">
      <c r="I28" s="56">
        <f t="shared" si="14"/>
        <v>21</v>
      </c>
      <c r="J28" s="19">
        <f t="shared" si="9"/>
        <v>0.28365402649976978</v>
      </c>
      <c r="K28" s="19">
        <f t="shared" si="10"/>
        <v>0.14530919736127274</v>
      </c>
      <c r="L28" s="19">
        <f t="shared" si="11"/>
        <v>0.30591965504141905</v>
      </c>
      <c r="M28" s="19">
        <f t="shared" si="12"/>
        <v>0.18291392322723524</v>
      </c>
      <c r="N28" s="85">
        <f t="shared" si="13"/>
        <v>8.2203197870302544E-2</v>
      </c>
      <c r="O28" s="19"/>
      <c r="P28" s="64">
        <f t="shared" si="0"/>
        <v>0.53259180100689718</v>
      </c>
      <c r="Q28" s="12"/>
      <c r="R28" s="12">
        <v>1</v>
      </c>
      <c r="S28" s="12"/>
      <c r="T28" s="65">
        <f t="shared" si="1"/>
        <v>0.53259180100689718</v>
      </c>
      <c r="V28" s="55">
        <f t="shared" si="2"/>
        <v>499.37940207631311</v>
      </c>
      <c r="W28" s="11"/>
      <c r="X28" s="76">
        <f t="shared" si="3"/>
        <v>0.35493701163913655</v>
      </c>
      <c r="Y28" s="77"/>
      <c r="Z28" s="76">
        <f t="shared" si="4"/>
        <v>3.9726235761520484E-2</v>
      </c>
      <c r="AB28" s="74">
        <v>48.340578602000001</v>
      </c>
      <c r="AC28" s="2">
        <f t="shared" si="5"/>
        <v>25.516023070275882</v>
      </c>
      <c r="AD28" s="2">
        <f t="shared" si="6"/>
        <v>6.0314323057915342E-3</v>
      </c>
      <c r="AE28" s="57">
        <f t="shared" si="7"/>
        <v>0.15389816586138405</v>
      </c>
      <c r="AG28" s="89"/>
    </row>
    <row r="29" spans="1:33" x14ac:dyDescent="0.2">
      <c r="I29" s="56">
        <f t="shared" si="14"/>
        <v>22</v>
      </c>
      <c r="J29" s="19">
        <f t="shared" si="9"/>
        <v>0.26713530196584978</v>
      </c>
      <c r="K29" s="19">
        <f t="shared" si="10"/>
        <v>0.13931430376457549</v>
      </c>
      <c r="L29" s="19">
        <f t="shared" si="11"/>
        <v>0.31507057615787548</v>
      </c>
      <c r="M29" s="19">
        <f t="shared" si="12"/>
        <v>0.19016591722431347</v>
      </c>
      <c r="N29" s="85">
        <f t="shared" si="13"/>
        <v>8.8313900887385097E-2</v>
      </c>
      <c r="O29" s="19"/>
      <c r="P29" s="64">
        <f t="shared" si="0"/>
        <v>0.51685133449169929</v>
      </c>
      <c r="Q29" s="12"/>
      <c r="R29" s="12">
        <v>1</v>
      </c>
      <c r="S29" s="12"/>
      <c r="T29" s="65">
        <f t="shared" si="1"/>
        <v>0.51685133449169929</v>
      </c>
      <c r="V29" s="55">
        <f t="shared" si="2"/>
        <v>491.63385193134354</v>
      </c>
      <c r="W29" s="11"/>
      <c r="X29" s="76">
        <f t="shared" si="3"/>
        <v>0.33674950013168337</v>
      </c>
      <c r="Y29" s="77"/>
      <c r="Z29" s="76">
        <f t="shared" si="4"/>
        <v>3.9178787749455768E-2</v>
      </c>
      <c r="AB29" s="74">
        <v>47.363764093999997</v>
      </c>
      <c r="AC29" s="2">
        <f t="shared" si="5"/>
        <v>25.283551621664117</v>
      </c>
      <c r="AD29" s="2">
        <f t="shared" si="6"/>
        <v>6.1107030170825527E-3</v>
      </c>
      <c r="AE29" s="57">
        <f t="shared" si="7"/>
        <v>0.15450027517706538</v>
      </c>
      <c r="AG29" s="89"/>
    </row>
    <row r="30" spans="1:33" x14ac:dyDescent="0.2">
      <c r="I30" s="56">
        <f t="shared" si="14"/>
        <v>23</v>
      </c>
      <c r="J30" s="19">
        <f t="shared" si="9"/>
        <v>0.2515785530597559</v>
      </c>
      <c r="K30" s="19">
        <f t="shared" si="10"/>
        <v>0.13334985317727954</v>
      </c>
      <c r="L30" s="19">
        <f t="shared" si="11"/>
        <v>0.32329711128099337</v>
      </c>
      <c r="M30" s="19">
        <f t="shared" si="12"/>
        <v>0.19728423032133532</v>
      </c>
      <c r="N30" s="85">
        <f t="shared" si="13"/>
        <v>9.4490252160635155E-2</v>
      </c>
      <c r="O30" s="19"/>
      <c r="P30" s="64">
        <f t="shared" si="0"/>
        <v>0.50157606906605556</v>
      </c>
      <c r="Q30" s="12"/>
      <c r="R30" s="12">
        <v>1</v>
      </c>
      <c r="S30" s="12"/>
      <c r="T30" s="65">
        <f t="shared" si="1"/>
        <v>0.50157606906605556</v>
      </c>
      <c r="V30" s="55">
        <f t="shared" si="2"/>
        <v>482.81855935423005</v>
      </c>
      <c r="W30" s="11"/>
      <c r="X30" s="76">
        <f t="shared" si="3"/>
        <v>0.31945309748725964</v>
      </c>
      <c r="Y30" s="77"/>
      <c r="Z30" s="76">
        <f t="shared" si="4"/>
        <v>3.853915070652076E-2</v>
      </c>
      <c r="AB30" s="74">
        <v>46.386949586</v>
      </c>
      <c r="AC30" s="2">
        <f t="shared" si="5"/>
        <v>25.044166928905561</v>
      </c>
      <c r="AD30" s="2">
        <f t="shared" si="6"/>
        <v>6.1763512732500581E-3</v>
      </c>
      <c r="AE30" s="57">
        <f t="shared" si="7"/>
        <v>0.15468157229883286</v>
      </c>
      <c r="AG30" s="89"/>
    </row>
    <row r="31" spans="1:33" x14ac:dyDescent="0.2">
      <c r="I31" s="56">
        <f t="shared" si="14"/>
        <v>24</v>
      </c>
      <c r="J31" s="19">
        <f t="shared" si="9"/>
        <v>0.23692775868212115</v>
      </c>
      <c r="K31" s="19">
        <f t="shared" si="10"/>
        <v>0.12745523268818221</v>
      </c>
      <c r="L31" s="19">
        <f t="shared" si="11"/>
        <v>0.33062789366773071</v>
      </c>
      <c r="M31" s="19">
        <f t="shared" si="12"/>
        <v>0.20426967117720393</v>
      </c>
      <c r="N31" s="85">
        <f t="shared" si="13"/>
        <v>0.10071944378476128</v>
      </c>
      <c r="O31" s="19"/>
      <c r="P31" s="64">
        <f t="shared" si="0"/>
        <v>0.48675225595997168</v>
      </c>
      <c r="Q31" s="12"/>
      <c r="R31" s="12">
        <v>1</v>
      </c>
      <c r="S31" s="12"/>
      <c r="T31" s="65">
        <f t="shared" si="1"/>
        <v>0.48675225595997168</v>
      </c>
      <c r="V31" s="55">
        <f t="shared" si="2"/>
        <v>473.09606636537387</v>
      </c>
      <c r="W31" s="11"/>
      <c r="X31" s="76">
        <f t="shared" si="3"/>
        <v>0.30300938548154349</v>
      </c>
      <c r="Y31" s="77"/>
      <c r="Z31" s="76">
        <f t="shared" si="4"/>
        <v>3.7820542198603181E-2</v>
      </c>
      <c r="AB31" s="74">
        <v>45.410135078000003</v>
      </c>
      <c r="AC31" s="2">
        <f t="shared" si="5"/>
        <v>24.797663405701709</v>
      </c>
      <c r="AD31" s="2">
        <f t="shared" si="6"/>
        <v>6.2291916241261208E-3</v>
      </c>
      <c r="AE31" s="57">
        <f t="shared" si="7"/>
        <v>0.15446939718469591</v>
      </c>
      <c r="AG31" s="89"/>
    </row>
    <row r="32" spans="1:33" x14ac:dyDescent="0.2">
      <c r="I32" s="56">
        <f t="shared" si="14"/>
        <v>25</v>
      </c>
      <c r="J32" s="19">
        <f t="shared" si="9"/>
        <v>0.22313016014842924</v>
      </c>
      <c r="K32" s="19">
        <f t="shared" si="10"/>
        <v>0.12166221941250244</v>
      </c>
      <c r="L32" s="19">
        <f t="shared" si="11"/>
        <v>0.33709500047507723</v>
      </c>
      <c r="M32" s="19">
        <f t="shared" si="12"/>
        <v>0.21112315975236118</v>
      </c>
      <c r="N32" s="85">
        <f t="shared" si="13"/>
        <v>0.10698946021162919</v>
      </c>
      <c r="O32" s="19"/>
      <c r="P32" s="64">
        <f t="shared" si="0"/>
        <v>0.47236655274101469</v>
      </c>
      <c r="Q32" s="12"/>
      <c r="R32" s="12">
        <v>1</v>
      </c>
      <c r="S32" s="12"/>
      <c r="T32" s="65">
        <f t="shared" si="1"/>
        <v>0.47236655274101469</v>
      </c>
      <c r="V32" s="55">
        <f t="shared" si="2"/>
        <v>462.61459642532969</v>
      </c>
      <c r="W32" s="11"/>
      <c r="X32" s="76">
        <f t="shared" si="3"/>
        <v>0.28738085224194793</v>
      </c>
      <c r="Y32" s="77"/>
      <c r="Z32" s="76">
        <f t="shared" si="4"/>
        <v>3.7035092997130932E-2</v>
      </c>
      <c r="AB32" s="74">
        <v>44.433320569999999</v>
      </c>
      <c r="AC32" s="2">
        <f t="shared" si="5"/>
        <v>24.543829352021412</v>
      </c>
      <c r="AD32" s="2">
        <f t="shared" si="6"/>
        <v>6.2700164268679193E-3</v>
      </c>
      <c r="AE32" s="57">
        <f t="shared" si="7"/>
        <v>0.15389021321541724</v>
      </c>
      <c r="AG32" s="89"/>
    </row>
    <row r="33" spans="9:33" x14ac:dyDescent="0.2">
      <c r="I33" s="56">
        <f t="shared" si="14"/>
        <v>26</v>
      </c>
      <c r="J33" s="19">
        <f t="shared" si="9"/>
        <v>0.21013607120076416</v>
      </c>
      <c r="K33" s="19">
        <f t="shared" si="10"/>
        <v>0.11599611031255661</v>
      </c>
      <c r="L33" s="19">
        <f t="shared" si="11"/>
        <v>0.34273304651381609</v>
      </c>
      <c r="M33" s="19">
        <f t="shared" si="12"/>
        <v>0.21784571856913057</v>
      </c>
      <c r="N33" s="85">
        <f t="shared" si="13"/>
        <v>0.1132890534037318</v>
      </c>
      <c r="O33" s="19"/>
      <c r="P33" s="64">
        <f t="shared" si="0"/>
        <v>0.45840601130522352</v>
      </c>
      <c r="Q33" s="12"/>
      <c r="R33" s="12">
        <v>1</v>
      </c>
      <c r="S33" s="12"/>
      <c r="T33" s="65">
        <f t="shared" si="1"/>
        <v>0.45840601130522352</v>
      </c>
      <c r="V33" s="55">
        <f t="shared" si="2"/>
        <v>451.50877306514627</v>
      </c>
      <c r="W33" s="11"/>
      <c r="X33" s="76">
        <f t="shared" si="3"/>
        <v>0.27253099780893636</v>
      </c>
      <c r="Y33" s="77"/>
      <c r="Z33" s="76">
        <f t="shared" si="4"/>
        <v>3.6193886387926484E-2</v>
      </c>
      <c r="AB33" s="74">
        <v>43.473604029999997</v>
      </c>
      <c r="AC33" s="2">
        <f t="shared" si="5"/>
        <v>24.287088134884517</v>
      </c>
      <c r="AD33" s="2">
        <f t="shared" si="6"/>
        <v>6.2995931921026038E-3</v>
      </c>
      <c r="AE33" s="57">
        <f t="shared" si="7"/>
        <v>0.15299877507051443</v>
      </c>
      <c r="AG33" s="89"/>
    </row>
    <row r="34" spans="9:33" x14ac:dyDescent="0.2">
      <c r="I34" s="56">
        <f t="shared" si="14"/>
        <v>27</v>
      </c>
      <c r="J34" s="19">
        <f t="shared" si="9"/>
        <v>0.19789869908361413</v>
      </c>
      <c r="K34" s="19">
        <f t="shared" si="10"/>
        <v>0.11047669753456639</v>
      </c>
      <c r="L34" s="19">
        <f t="shared" si="11"/>
        <v>0.34757842304032777</v>
      </c>
      <c r="M34" s="19">
        <f t="shared" si="12"/>
        <v>0.22443846432662956</v>
      </c>
      <c r="N34" s="85">
        <f t="shared" si="13"/>
        <v>0.11960771601486134</v>
      </c>
      <c r="O34" s="19"/>
      <c r="P34" s="64">
        <f t="shared" si="0"/>
        <v>0.44485806622294116</v>
      </c>
      <c r="Q34" s="12"/>
      <c r="R34" s="12">
        <v>1</v>
      </c>
      <c r="S34" s="12"/>
      <c r="T34" s="65">
        <f t="shared" si="1"/>
        <v>0.44485806622294116</v>
      </c>
      <c r="V34" s="55">
        <f t="shared" si="2"/>
        <v>439.90038636198858</v>
      </c>
      <c r="W34" s="11"/>
      <c r="X34" s="76">
        <f t="shared" si="3"/>
        <v>0.25842441221653178</v>
      </c>
      <c r="Y34" s="77"/>
      <c r="Z34" s="76">
        <f t="shared" si="4"/>
        <v>3.5307004969504598E-2</v>
      </c>
      <c r="AB34" s="74">
        <v>42.513887490000002</v>
      </c>
      <c r="AC34" s="2">
        <f t="shared" si="5"/>
        <v>24.022847512466388</v>
      </c>
      <c r="AD34" s="2">
        <f t="shared" si="6"/>
        <v>6.3186626111295385E-3</v>
      </c>
      <c r="AE34" s="57">
        <f t="shared" si="7"/>
        <v>0.1517922683898876</v>
      </c>
      <c r="AG34" s="89"/>
    </row>
    <row r="35" spans="9:33" x14ac:dyDescent="0.2">
      <c r="I35" s="56">
        <f t="shared" si="14"/>
        <v>28</v>
      </c>
      <c r="J35" s="19">
        <f t="shared" si="9"/>
        <v>0.18637397603940942</v>
      </c>
      <c r="K35" s="19">
        <f t="shared" si="10"/>
        <v>0.10511910971307269</v>
      </c>
      <c r="L35" s="19">
        <f t="shared" si="11"/>
        <v>0.35166866119607931</v>
      </c>
      <c r="M35" s="19">
        <f t="shared" si="12"/>
        <v>0.23090259988047404</v>
      </c>
      <c r="N35" s="85">
        <f t="shared" si="13"/>
        <v>0.12593565317096372</v>
      </c>
      <c r="O35" s="19"/>
      <c r="P35" s="64">
        <f t="shared" si="0"/>
        <v>0.43171052342907973</v>
      </c>
      <c r="Q35" s="12"/>
      <c r="R35" s="12">
        <v>1</v>
      </c>
      <c r="S35" s="12"/>
      <c r="T35" s="65">
        <f t="shared" si="1"/>
        <v>0.43171052342907973</v>
      </c>
      <c r="V35" s="55">
        <f t="shared" si="2"/>
        <v>427.89918454383269</v>
      </c>
      <c r="W35" s="11"/>
      <c r="X35" s="76">
        <f t="shared" si="3"/>
        <v>0.24502683077118068</v>
      </c>
      <c r="Y35" s="77"/>
      <c r="Z35" s="76">
        <f t="shared" si="4"/>
        <v>3.4383582480167769E-2</v>
      </c>
      <c r="AB35" s="74">
        <v>41.55417095</v>
      </c>
      <c r="AC35" s="2">
        <f t="shared" si="5"/>
        <v>23.75088842730441</v>
      </c>
      <c r="AD35" s="2">
        <f t="shared" si="6"/>
        <v>6.3279371561023867E-3</v>
      </c>
      <c r="AE35" s="57">
        <f t="shared" si="7"/>
        <v>0.15029412936958175</v>
      </c>
      <c r="AG35" s="89"/>
    </row>
    <row r="36" spans="9:33" x14ac:dyDescent="0.2">
      <c r="I36" s="56">
        <f t="shared" si="14"/>
        <v>29</v>
      </c>
      <c r="J36" s="19">
        <f t="shared" si="9"/>
        <v>0.17552040061699634</v>
      </c>
      <c r="K36" s="19">
        <f t="shared" si="10"/>
        <v>9.9934537023888798E-2</v>
      </c>
      <c r="L36" s="19">
        <f t="shared" si="11"/>
        <v>0.35504190243524925</v>
      </c>
      <c r="M36" s="19">
        <f t="shared" si="12"/>
        <v>0.23723940659264756</v>
      </c>
      <c r="N36" s="85">
        <f t="shared" si="13"/>
        <v>0.13226375333121718</v>
      </c>
      <c r="O36" s="19"/>
      <c r="P36" s="64">
        <f t="shared" si="0"/>
        <v>0.418951549247639</v>
      </c>
      <c r="Q36" s="12"/>
      <c r="R36" s="12">
        <v>1</v>
      </c>
      <c r="S36" s="12"/>
      <c r="T36" s="65">
        <f t="shared" si="1"/>
        <v>0.418951549247639</v>
      </c>
      <c r="V36" s="55">
        <f t="shared" si="2"/>
        <v>415.60367292868949</v>
      </c>
      <c r="W36" s="11"/>
      <c r="X36" s="76">
        <f t="shared" si="3"/>
        <v>0.23230517047554686</v>
      </c>
      <c r="Y36" s="77"/>
      <c r="Z36" s="76">
        <f t="shared" si="4"/>
        <v>3.3431858693373201E-2</v>
      </c>
      <c r="AB36" s="74">
        <v>40.594454409999997</v>
      </c>
      <c r="AC36" s="2">
        <f t="shared" si="5"/>
        <v>23.470985423272339</v>
      </c>
      <c r="AD36" s="2">
        <f t="shared" si="6"/>
        <v>6.3281001602534526E-3</v>
      </c>
      <c r="AE36" s="57">
        <f t="shared" si="7"/>
        <v>0.14852674661831614</v>
      </c>
      <c r="AG36" s="89"/>
    </row>
    <row r="37" spans="9:33" x14ac:dyDescent="0.2">
      <c r="I37" s="56">
        <f t="shared" si="14"/>
        <v>30</v>
      </c>
      <c r="J37" s="19">
        <f t="shared" si="9"/>
        <v>0.165298888221586</v>
      </c>
      <c r="K37" s="19">
        <f t="shared" si="10"/>
        <v>9.4930855442603129E-2</v>
      </c>
      <c r="L37" s="19">
        <f t="shared" si="11"/>
        <v>0.35773646065335679</v>
      </c>
      <c r="M37" s="19">
        <f t="shared" si="12"/>
        <v>0.24345023705289606</v>
      </c>
      <c r="N37" s="85">
        <f t="shared" si="13"/>
        <v>0.13858355862955707</v>
      </c>
      <c r="O37" s="19"/>
      <c r="P37" s="64">
        <f t="shared" si="0"/>
        <v>0.40656965974059917</v>
      </c>
      <c r="Q37" s="12"/>
      <c r="R37" s="12">
        <v>1</v>
      </c>
      <c r="S37" s="12"/>
      <c r="T37" s="65">
        <f t="shared" si="1"/>
        <v>0.40656965974059917</v>
      </c>
      <c r="V37" s="55">
        <f t="shared" si="2"/>
        <v>403.10190643779606</v>
      </c>
      <c r="W37" s="11"/>
      <c r="X37" s="76">
        <f t="shared" si="3"/>
        <v>0.22022755092383681</v>
      </c>
      <c r="Y37" s="77"/>
      <c r="Z37" s="76">
        <f t="shared" si="4"/>
        <v>3.2459235832881815E-2</v>
      </c>
      <c r="AB37" s="74">
        <v>39.634737870000002</v>
      </c>
      <c r="AC37" s="2">
        <f t="shared" si="5"/>
        <v>23.182906458675454</v>
      </c>
      <c r="AD37" s="2">
        <f t="shared" si="6"/>
        <v>6.3198052983398922E-3</v>
      </c>
      <c r="AE37" s="57">
        <f t="shared" si="7"/>
        <v>0.14651145506845525</v>
      </c>
      <c r="AG37" s="89"/>
    </row>
    <row r="38" spans="9:33" x14ac:dyDescent="0.2">
      <c r="I38" s="56">
        <f t="shared" si="14"/>
        <v>31</v>
      </c>
      <c r="J38" s="19">
        <f t="shared" si="9"/>
        <v>0.15567263036799678</v>
      </c>
      <c r="K38" s="19">
        <f t="shared" si="10"/>
        <v>9.0113163643469676E-2</v>
      </c>
      <c r="L38" s="19">
        <f t="shared" si="11"/>
        <v>0.35979046279041438</v>
      </c>
      <c r="M38" s="19">
        <f t="shared" si="12"/>
        <v>0.24953650816971412</v>
      </c>
      <c r="N38" s="85">
        <f t="shared" si="13"/>
        <v>0.14488723502840406</v>
      </c>
      <c r="O38" s="19"/>
      <c r="P38" s="64">
        <f t="shared" si="0"/>
        <v>0.39455371037160114</v>
      </c>
      <c r="Q38" s="12"/>
      <c r="R38" s="12">
        <v>1</v>
      </c>
      <c r="S38" s="12"/>
      <c r="T38" s="65">
        <f t="shared" si="1"/>
        <v>0.39455371037160114</v>
      </c>
      <c r="V38" s="55">
        <f t="shared" si="2"/>
        <v>390.47226521705232</v>
      </c>
      <c r="W38" s="11"/>
      <c r="X38" s="76">
        <f t="shared" si="3"/>
        <v>0.20876330247063021</v>
      </c>
      <c r="Y38" s="77"/>
      <c r="Z38" s="76">
        <f t="shared" si="4"/>
        <v>3.1472335297732454E-2</v>
      </c>
      <c r="AB38" s="74">
        <v>38.690766486000001</v>
      </c>
      <c r="AC38" s="2">
        <f t="shared" si="5"/>
        <v>22.89134620046298</v>
      </c>
      <c r="AD38" s="2">
        <f t="shared" si="6"/>
        <v>6.3036763988469913E-3</v>
      </c>
      <c r="AE38" s="57">
        <f t="shared" si="7"/>
        <v>0.14429963878169424</v>
      </c>
      <c r="AG38" s="89"/>
    </row>
    <row r="39" spans="9:33" x14ac:dyDescent="0.2">
      <c r="I39" s="56">
        <f t="shared" si="14"/>
        <v>32</v>
      </c>
      <c r="J39" s="19">
        <f t="shared" si="9"/>
        <v>0.14660696213034963</v>
      </c>
      <c r="K39" s="19">
        <f t="shared" si="10"/>
        <v>8.5484244214036609E-2</v>
      </c>
      <c r="L39" s="19">
        <f t="shared" si="11"/>
        <v>0.36124155647158623</v>
      </c>
      <c r="M39" s="19">
        <f t="shared" si="12"/>
        <v>0.2554996946263085</v>
      </c>
      <c r="N39" s="85">
        <f t="shared" si="13"/>
        <v>0.15116754255771803</v>
      </c>
      <c r="O39" s="19"/>
      <c r="P39" s="64">
        <f t="shared" ref="P39:P66" si="15">EXP(-r_Delta_t * I39)</f>
        <v>0.38289288597511206</v>
      </c>
      <c r="Q39" s="12"/>
      <c r="R39" s="12">
        <v>1</v>
      </c>
      <c r="S39" s="12"/>
      <c r="T39" s="65">
        <f t="shared" si="1"/>
        <v>0.38289288597511206</v>
      </c>
      <c r="V39" s="55">
        <f t="shared" si="2"/>
        <v>377.78420558123224</v>
      </c>
      <c r="W39" s="11"/>
      <c r="X39" s="76">
        <f t="shared" si="3"/>
        <v>0.19788296403125924</v>
      </c>
      <c r="Y39" s="77"/>
      <c r="Z39" s="76">
        <f t="shared" si="4"/>
        <v>3.0477053764349206E-2</v>
      </c>
      <c r="AB39" s="74">
        <v>37.746795102</v>
      </c>
      <c r="AC39" s="2">
        <f t="shared" si="5"/>
        <v>22.591411182723778</v>
      </c>
      <c r="AD39" s="2">
        <f t="shared" si="6"/>
        <v>6.2803075293139665E-3</v>
      </c>
      <c r="AE39" s="57">
        <f t="shared" si="7"/>
        <v>0.14188100974868789</v>
      </c>
      <c r="AG39" s="89"/>
    </row>
    <row r="40" spans="9:33" x14ac:dyDescent="0.2">
      <c r="I40" s="56">
        <f t="shared" si="14"/>
        <v>33</v>
      </c>
      <c r="J40" s="19">
        <f t="shared" si="9"/>
        <v>0.13806923731089232</v>
      </c>
      <c r="K40" s="19">
        <f t="shared" si="10"/>
        <v>8.1044959330042785E-2</v>
      </c>
      <c r="L40" s="19">
        <f t="shared" si="11"/>
        <v>0.36212667480193017</v>
      </c>
      <c r="M40" s="19">
        <f t="shared" si="12"/>
        <v>0.26134132269476679</v>
      </c>
      <c r="N40" s="85">
        <f t="shared" si="13"/>
        <v>0.15741780586236687</v>
      </c>
      <c r="O40" s="19"/>
      <c r="P40" s="64">
        <f t="shared" si="15"/>
        <v>0.37157669102204571</v>
      </c>
      <c r="Q40" s="12"/>
      <c r="R40" s="12">
        <v>1</v>
      </c>
      <c r="S40" s="12"/>
      <c r="T40" s="65">
        <f t="shared" si="1"/>
        <v>0.37157669102204571</v>
      </c>
      <c r="V40" s="55">
        <f t="shared" si="2"/>
        <v>365.09898066554535</v>
      </c>
      <c r="W40" s="11"/>
      <c r="X40" s="76">
        <f t="shared" si="3"/>
        <v>0.18755827249617296</v>
      </c>
      <c r="Y40" s="77"/>
      <c r="Z40" s="76">
        <f t="shared" si="4"/>
        <v>2.947861795935635E-2</v>
      </c>
      <c r="AB40" s="74">
        <v>36.802823717999999</v>
      </c>
      <c r="AC40" s="2">
        <f t="shared" si="5"/>
        <v>22.282860849362983</v>
      </c>
      <c r="AD40" s="2">
        <f t="shared" ref="AD40:AD66" si="16">N40-N39</f>
        <v>6.2502633046488398E-3</v>
      </c>
      <c r="AE40" s="57">
        <f t="shared" si="7"/>
        <v>0.13927374748936974</v>
      </c>
      <c r="AG40" s="89"/>
    </row>
    <row r="41" spans="9:33" x14ac:dyDescent="0.2">
      <c r="I41" s="56">
        <f t="shared" si="14"/>
        <v>34</v>
      </c>
      <c r="J41" s="19">
        <f t="shared" si="9"/>
        <v>0.13002871087842544</v>
      </c>
      <c r="K41" s="19">
        <f t="shared" si="10"/>
        <v>7.6794589703343297E-2</v>
      </c>
      <c r="L41" s="19">
        <f t="shared" si="11"/>
        <v>0.36248184978026921</v>
      </c>
      <c r="M41" s="19">
        <f t="shared" si="12"/>
        <v>0.26706296439994587</v>
      </c>
      <c r="N41" s="85">
        <f t="shared" si="13"/>
        <v>0.16363188523801503</v>
      </c>
      <c r="O41" s="19"/>
      <c r="P41" s="64">
        <f t="shared" si="15"/>
        <v>0.3605949401730783</v>
      </c>
      <c r="Q41" s="12"/>
      <c r="R41" s="12">
        <v>1</v>
      </c>
      <c r="S41" s="12"/>
      <c r="T41" s="65">
        <f t="shared" si="1"/>
        <v>0.3605949401730783</v>
      </c>
      <c r="V41" s="55">
        <f t="shared" si="2"/>
        <v>352.4703269163935</v>
      </c>
      <c r="W41" s="11"/>
      <c r="X41" s="76">
        <f t="shared" si="3"/>
        <v>0.17776214542397115</v>
      </c>
      <c r="Y41" s="77"/>
      <c r="Z41" s="76">
        <f t="shared" si="4"/>
        <v>2.848163758055226E-2</v>
      </c>
      <c r="AB41" s="74">
        <v>35.858852333999998</v>
      </c>
      <c r="AC41" s="2">
        <f t="shared" si="5"/>
        <v>21.965447734566784</v>
      </c>
      <c r="AD41" s="2">
        <f t="shared" si="16"/>
        <v>6.2140793756481627E-3</v>
      </c>
      <c r="AE41" s="57">
        <f t="shared" si="7"/>
        <v>0.13649503574424912</v>
      </c>
      <c r="AG41" s="89"/>
    </row>
    <row r="42" spans="9:33" x14ac:dyDescent="0.2">
      <c r="I42" s="56">
        <f t="shared" si="14"/>
        <v>35</v>
      </c>
      <c r="J42" s="19">
        <f t="shared" si="9"/>
        <v>0.12245642825298145</v>
      </c>
      <c r="K42" s="19">
        <f t="shared" si="10"/>
        <v>7.2731124457119573E-2</v>
      </c>
      <c r="L42" s="19">
        <f t="shared" si="11"/>
        <v>0.36234206696733562</v>
      </c>
      <c r="M42" s="19">
        <f t="shared" si="12"/>
        <v>0.27266623202326046</v>
      </c>
      <c r="N42" s="85">
        <f t="shared" si="13"/>
        <v>0.16980414829930171</v>
      </c>
      <c r="O42" s="19"/>
      <c r="P42" s="64">
        <f t="shared" si="15"/>
        <v>0.34993774911115533</v>
      </c>
      <c r="Q42" s="12"/>
      <c r="R42" s="12">
        <v>1</v>
      </c>
      <c r="S42" s="12"/>
      <c r="T42" s="65">
        <f t="shared" si="1"/>
        <v>0.34993774911115533</v>
      </c>
      <c r="V42" s="55">
        <f t="shared" si="2"/>
        <v>339.94511395078581</v>
      </c>
      <c r="W42" s="11"/>
      <c r="X42" s="76">
        <f t="shared" si="3"/>
        <v>0.16846865840901171</v>
      </c>
      <c r="Y42" s="77"/>
      <c r="Z42" s="76">
        <f t="shared" si="4"/>
        <v>2.7490155992194815E-2</v>
      </c>
      <c r="AB42" s="74">
        <v>34.914880949999997</v>
      </c>
      <c r="AC42" s="2">
        <f t="shared" si="5"/>
        <v>21.638917264328018</v>
      </c>
      <c r="AD42" s="2">
        <f t="shared" si="16"/>
        <v>6.1722630612866813E-3</v>
      </c>
      <c r="AE42" s="57">
        <f t="shared" si="7"/>
        <v>0.13356108971685046</v>
      </c>
      <c r="AG42" s="89"/>
    </row>
    <row r="43" spans="9:33" x14ac:dyDescent="0.2">
      <c r="I43" s="56">
        <f t="shared" si="14"/>
        <v>36</v>
      </c>
      <c r="J43" s="19">
        <f t="shared" si="9"/>
        <v>0.11532512103806207</v>
      </c>
      <c r="K43" s="19">
        <f t="shared" si="10"/>
        <v>6.8851508574936743E-2</v>
      </c>
      <c r="L43" s="19">
        <f t="shared" si="11"/>
        <v>0.3617411550583397</v>
      </c>
      <c r="M43" s="19">
        <f t="shared" si="12"/>
        <v>0.27815277293553575</v>
      </c>
      <c r="N43" s="85">
        <f t="shared" si="13"/>
        <v>0.17592944239312452</v>
      </c>
      <c r="O43" s="19"/>
      <c r="P43" s="64">
        <f t="shared" si="15"/>
        <v>0.33959552564493911</v>
      </c>
      <c r="Q43" s="12"/>
      <c r="R43" s="12">
        <v>1</v>
      </c>
      <c r="S43" s="12"/>
      <c r="T43" s="65">
        <f t="shared" si="1"/>
        <v>0.33959552564493911</v>
      </c>
      <c r="V43" s="55">
        <f t="shared" si="2"/>
        <v>327.56395642300009</v>
      </c>
      <c r="W43" s="11"/>
      <c r="X43" s="76">
        <f t="shared" si="3"/>
        <v>0.15965301829219739</v>
      </c>
      <c r="Y43" s="77"/>
      <c r="Z43" s="76">
        <f t="shared" si="4"/>
        <v>2.6507698440316897E-2</v>
      </c>
      <c r="AB43" s="74">
        <v>33.982592404000002</v>
      </c>
      <c r="AC43" s="2">
        <f t="shared" si="5"/>
        <v>21.307223263871222</v>
      </c>
      <c r="AD43" s="2">
        <f t="shared" si="16"/>
        <v>6.125294093822814E-3</v>
      </c>
      <c r="AE43" s="57">
        <f t="shared" si="7"/>
        <v>0.13051300881395445</v>
      </c>
      <c r="AG43" s="89"/>
    </row>
    <row r="44" spans="9:33" x14ac:dyDescent="0.2">
      <c r="I44" s="56">
        <f t="shared" si="14"/>
        <v>37</v>
      </c>
      <c r="J44" s="19">
        <f t="shared" si="9"/>
        <v>0.10860910882495754</v>
      </c>
      <c r="K44" s="19">
        <f t="shared" si="10"/>
        <v>6.5151853693782583E-2</v>
      </c>
      <c r="L44" s="19">
        <f t="shared" si="11"/>
        <v>0.36071170489029758</v>
      </c>
      <c r="M44" s="19">
        <f t="shared" si="12"/>
        <v>0.28352426474734327</v>
      </c>
      <c r="N44" s="85">
        <f t="shared" si="13"/>
        <v>0.18200306784361778</v>
      </c>
      <c r="O44" s="19"/>
      <c r="P44" s="64">
        <f t="shared" si="15"/>
        <v>0.32955896107518912</v>
      </c>
      <c r="Q44" s="12"/>
      <c r="R44" s="12">
        <v>1</v>
      </c>
      <c r="S44" s="12"/>
      <c r="T44" s="65">
        <f t="shared" si="1"/>
        <v>0.32955896107518912</v>
      </c>
      <c r="V44" s="55">
        <f t="shared" si="2"/>
        <v>315.36178740876005</v>
      </c>
      <c r="W44" s="11"/>
      <c r="X44" s="76">
        <f t="shared" si="3"/>
        <v>0.15129153319137395</v>
      </c>
      <c r="Y44" s="77"/>
      <c r="Z44" s="76">
        <f t="shared" si="4"/>
        <v>2.5537317629273502E-2</v>
      </c>
      <c r="AB44" s="74">
        <v>33.050303857999999</v>
      </c>
      <c r="AC44" s="2">
        <f t="shared" si="5"/>
        <v>20.966121276791593</v>
      </c>
      <c r="AD44" s="2">
        <f t="shared" si="16"/>
        <v>6.073625450493253E-3</v>
      </c>
      <c r="AE44" s="57">
        <f t="shared" si="7"/>
        <v>0.12734036778484953</v>
      </c>
      <c r="AG44" s="89"/>
    </row>
    <row r="45" spans="9:33" x14ac:dyDescent="0.2">
      <c r="I45" s="56">
        <f t="shared" si="14"/>
        <v>38</v>
      </c>
      <c r="J45" s="19">
        <f t="shared" si="9"/>
        <v>0.10228420671553703</v>
      </c>
      <c r="K45" s="19">
        <f t="shared" si="10"/>
        <v>6.162761724903934E-2</v>
      </c>
      <c r="L45" s="19">
        <f t="shared" si="11"/>
        <v>0.3592850131774406</v>
      </c>
      <c r="M45" s="19">
        <f t="shared" si="12"/>
        <v>0.28878241076471955</v>
      </c>
      <c r="N45" s="85">
        <f t="shared" si="13"/>
        <v>0.18802075209326216</v>
      </c>
      <c r="O45" s="19"/>
      <c r="P45" s="64">
        <f t="shared" si="15"/>
        <v>0.31981902181630395</v>
      </c>
      <c r="Q45" s="12"/>
      <c r="R45" s="12">
        <v>1</v>
      </c>
      <c r="S45" s="12"/>
      <c r="T45" s="65">
        <f t="shared" si="1"/>
        <v>0.31981902181630395</v>
      </c>
      <c r="V45" s="55">
        <f t="shared" si="2"/>
        <v>303.3683934940409</v>
      </c>
      <c r="W45" s="11"/>
      <c r="X45" s="76">
        <f t="shared" si="3"/>
        <v>0.1433615801653377</v>
      </c>
      <c r="Y45" s="77"/>
      <c r="Z45" s="76">
        <f t="shared" si="4"/>
        <v>2.45816365763445E-2</v>
      </c>
      <c r="AB45" s="74">
        <v>32.118015311999997</v>
      </c>
      <c r="AC45" s="2">
        <f t="shared" si="5"/>
        <v>20.615344460118877</v>
      </c>
      <c r="AD45" s="2">
        <f t="shared" si="16"/>
        <v>6.0176842496443839E-3</v>
      </c>
      <c r="AE45" s="57">
        <f t="shared" si="7"/>
        <v>0.12405663365865097</v>
      </c>
      <c r="AG45" s="89"/>
    </row>
    <row r="46" spans="9:33" x14ac:dyDescent="0.2">
      <c r="I46" s="56">
        <f t="shared" si="14"/>
        <v>39</v>
      </c>
      <c r="J46" s="19">
        <f t="shared" si="9"/>
        <v>9.6327638230492604E-2</v>
      </c>
      <c r="K46" s="19">
        <f t="shared" si="10"/>
        <v>5.827375431658581E-2</v>
      </c>
      <c r="L46" s="19">
        <f t="shared" si="11"/>
        <v>0.35749104692916495</v>
      </c>
      <c r="M46" s="19">
        <f t="shared" si="12"/>
        <v>0.29392893573783729</v>
      </c>
      <c r="N46" s="85">
        <f t="shared" si="13"/>
        <v>0.19397862478591804</v>
      </c>
      <c r="O46" s="19"/>
      <c r="P46" s="64">
        <f t="shared" si="15"/>
        <v>0.31036694126548503</v>
      </c>
      <c r="Q46" s="12"/>
      <c r="R46" s="12">
        <v>1</v>
      </c>
      <c r="S46" s="12"/>
      <c r="T46" s="65">
        <f t="shared" si="1"/>
        <v>0.31036694126548503</v>
      </c>
      <c r="V46" s="55">
        <f t="shared" si="2"/>
        <v>291.60891227309526</v>
      </c>
      <c r="W46" s="11"/>
      <c r="X46" s="76">
        <f t="shared" si="3"/>
        <v>0.13584157118821724</v>
      </c>
      <c r="Y46" s="77"/>
      <c r="Z46" s="76">
        <f t="shared" si="4"/>
        <v>2.3642888720505763E-2</v>
      </c>
      <c r="AB46" s="74">
        <v>31.185726765999998</v>
      </c>
      <c r="AC46" s="2">
        <f t="shared" si="5"/>
        <v>20.25461840229525</v>
      </c>
      <c r="AD46" s="2">
        <f t="shared" si="16"/>
        <v>5.95787269265588E-3</v>
      </c>
      <c r="AE46" s="57">
        <f t="shared" si="7"/>
        <v>0.12067443787920014</v>
      </c>
      <c r="AG46" s="89"/>
    </row>
    <row r="47" spans="9:33" x14ac:dyDescent="0.2">
      <c r="I47" s="56">
        <f t="shared" si="14"/>
        <v>40</v>
      </c>
      <c r="J47" s="19">
        <f t="shared" si="9"/>
        <v>9.0717953289412109E-2</v>
      </c>
      <c r="K47" s="19">
        <f t="shared" si="10"/>
        <v>5.5084845921001983E-2</v>
      </c>
      <c r="L47" s="19">
        <f t="shared" si="11"/>
        <v>0.35535842507760923</v>
      </c>
      <c r="M47" s="19">
        <f t="shared" si="12"/>
        <v>0.29896558189002831</v>
      </c>
      <c r="N47" s="85">
        <f t="shared" si="13"/>
        <v>0.19987319382194707</v>
      </c>
      <c r="O47" s="19"/>
      <c r="P47" s="64">
        <f t="shared" si="15"/>
        <v>0.30119421191220214</v>
      </c>
      <c r="Q47" s="12"/>
      <c r="R47" s="12">
        <v>1</v>
      </c>
      <c r="S47" s="12"/>
      <c r="T47" s="65">
        <f t="shared" si="1"/>
        <v>0.30119421191220214</v>
      </c>
      <c r="V47" s="55">
        <f t="shared" si="2"/>
        <v>280.10429334794219</v>
      </c>
      <c r="W47" s="11"/>
      <c r="X47" s="76">
        <f t="shared" si="3"/>
        <v>0.12871091799508913</v>
      </c>
      <c r="Y47" s="77"/>
      <c r="Z47" s="76">
        <f t="shared" si="4"/>
        <v>2.2722955307374622E-2</v>
      </c>
      <c r="AB47" s="74">
        <v>30.25343822</v>
      </c>
      <c r="AC47" s="2">
        <f t="shared" si="5"/>
        <v>19.883660908504019</v>
      </c>
      <c r="AD47" s="2">
        <f t="shared" si="16"/>
        <v>5.8945690360290293E-3</v>
      </c>
      <c r="AE47" s="57">
        <f t="shared" si="7"/>
        <v>0.11720561191416863</v>
      </c>
      <c r="AG47" s="89"/>
    </row>
    <row r="48" spans="9:33" x14ac:dyDescent="0.2">
      <c r="I48" s="56">
        <f t="shared" si="14"/>
        <v>41</v>
      </c>
      <c r="J48" s="19">
        <f t="shared" si="9"/>
        <v>8.5434950967320844E-2</v>
      </c>
      <c r="K48" s="19">
        <f t="shared" si="10"/>
        <v>5.2055207077922543E-2</v>
      </c>
      <c r="L48" s="19">
        <f t="shared" si="11"/>
        <v>0.35291441433768928</v>
      </c>
      <c r="M48" s="19">
        <f t="shared" si="12"/>
        <v>0.30389410521451504</v>
      </c>
      <c r="N48" s="85">
        <f t="shared" si="13"/>
        <v>0.20570132240255098</v>
      </c>
      <c r="O48" s="19"/>
      <c r="P48" s="64">
        <f t="shared" si="15"/>
        <v>0.29229257768085942</v>
      </c>
      <c r="Q48" s="12"/>
      <c r="R48" s="12">
        <v>1</v>
      </c>
      <c r="S48" s="12"/>
      <c r="T48" s="65">
        <f t="shared" si="1"/>
        <v>0.29229257768085942</v>
      </c>
      <c r="V48" s="55">
        <f t="shared" si="2"/>
        <v>268.87172420390937</v>
      </c>
      <c r="W48" s="11"/>
      <c r="X48" s="76">
        <f t="shared" si="3"/>
        <v>0.12194999626186234</v>
      </c>
      <c r="Y48" s="77"/>
      <c r="Z48" s="76">
        <f t="shared" si="4"/>
        <v>2.1823400107284011E-2</v>
      </c>
      <c r="AB48" s="74">
        <v>29.338929644</v>
      </c>
      <c r="AC48" s="2">
        <f t="shared" si="5"/>
        <v>19.509557336467644</v>
      </c>
      <c r="AD48" s="2">
        <f t="shared" si="16"/>
        <v>5.828128580603914E-3</v>
      </c>
      <c r="AE48" s="57">
        <f t="shared" si="7"/>
        <v>0.11370420870759784</v>
      </c>
      <c r="AG48" s="89"/>
    </row>
    <row r="49" spans="9:33" x14ac:dyDescent="0.2">
      <c r="I49" s="56">
        <f t="shared" si="14"/>
        <v>42</v>
      </c>
      <c r="J49" s="19">
        <f t="shared" si="9"/>
        <v>8.0459606749532064E-2</v>
      </c>
      <c r="K49" s="19">
        <f t="shared" si="10"/>
        <v>4.9178977403181959E-2</v>
      </c>
      <c r="L49" s="19">
        <f t="shared" si="11"/>
        <v>0.35018493675136597</v>
      </c>
      <c r="M49" s="19">
        <f t="shared" si="12"/>
        <v>0.3087162720262755</v>
      </c>
      <c r="N49" s="85">
        <f t="shared" si="13"/>
        <v>0.21146020706964319</v>
      </c>
      <c r="O49" s="19"/>
      <c r="P49" s="64">
        <f t="shared" si="15"/>
        <v>0.2836540264997704</v>
      </c>
      <c r="Q49" s="12"/>
      <c r="R49" s="12">
        <v>1</v>
      </c>
      <c r="S49" s="12"/>
      <c r="T49" s="65">
        <f t="shared" si="1"/>
        <v>0.2836540264997704</v>
      </c>
      <c r="V49" s="55">
        <f t="shared" si="2"/>
        <v>257.92502253319702</v>
      </c>
      <c r="W49" s="11"/>
      <c r="X49" s="76">
        <f t="shared" si="3"/>
        <v>0.11554010949994288</v>
      </c>
      <c r="Y49" s="77"/>
      <c r="Z49" s="76">
        <f t="shared" si="4"/>
        <v>2.0945501549478669E-2</v>
      </c>
      <c r="AB49" s="74">
        <v>28.424421068000001</v>
      </c>
      <c r="AC49" s="2">
        <f t="shared" si="5"/>
        <v>19.125048047608598</v>
      </c>
      <c r="AD49" s="2">
        <f t="shared" si="16"/>
        <v>5.7588846670922067E-3</v>
      </c>
      <c r="AE49" s="57">
        <f t="shared" si="7"/>
        <v>0.11013894595877489</v>
      </c>
      <c r="AG49" s="89"/>
    </row>
    <row r="50" spans="9:33" x14ac:dyDescent="0.2">
      <c r="I50" s="56">
        <f t="shared" si="14"/>
        <v>43</v>
      </c>
      <c r="J50" s="19">
        <f t="shared" si="9"/>
        <v>7.5774004022845121E-2</v>
      </c>
      <c r="K50" s="19">
        <f t="shared" si="10"/>
        <v>4.6450196743001632E-2</v>
      </c>
      <c r="L50" s="19">
        <f t="shared" si="11"/>
        <v>0.3471945867388716</v>
      </c>
      <c r="M50" s="19">
        <f t="shared" si="12"/>
        <v>0.3134338557566187</v>
      </c>
      <c r="N50" s="85">
        <f t="shared" si="13"/>
        <v>0.21714735673866159</v>
      </c>
      <c r="O50" s="19"/>
      <c r="P50" s="64">
        <f t="shared" si="15"/>
        <v>0.27527078308975234</v>
      </c>
      <c r="Q50" s="12"/>
      <c r="R50" s="12">
        <v>1</v>
      </c>
      <c r="S50" s="12"/>
      <c r="T50" s="65">
        <f t="shared" si="1"/>
        <v>0.27527078308975234</v>
      </c>
      <c r="V50" s="55">
        <f t="shared" si="2"/>
        <v>247.2749967076839</v>
      </c>
      <c r="W50" s="11"/>
      <c r="X50" s="76">
        <f t="shared" si="3"/>
        <v>0.1094634529766335</v>
      </c>
      <c r="Y50" s="77"/>
      <c r="Z50" s="76">
        <f t="shared" si="4"/>
        <v>2.0090282374247658E-2</v>
      </c>
      <c r="AB50" s="74">
        <v>27.509912492000002</v>
      </c>
      <c r="AC50" s="2">
        <f t="shared" si="5"/>
        <v>18.729843606191203</v>
      </c>
      <c r="AD50" s="2">
        <f t="shared" si="16"/>
        <v>5.6871496690183987E-3</v>
      </c>
      <c r="AE50" s="57">
        <f t="shared" si="7"/>
        <v>0.10651942386571667</v>
      </c>
      <c r="AG50" s="89"/>
    </row>
    <row r="51" spans="9:33" x14ac:dyDescent="0.2">
      <c r="I51" s="56">
        <f t="shared" si="14"/>
        <v>44</v>
      </c>
      <c r="J51" s="19">
        <f t="shared" si="9"/>
        <v>7.1361269556385706E-2</v>
      </c>
      <c r="K51" s="19">
        <f t="shared" si="10"/>
        <v>4.3862867950680645E-2</v>
      </c>
      <c r="L51" s="19">
        <f t="shared" si="11"/>
        <v>0.34396665580020852</v>
      </c>
      <c r="M51" s="19">
        <f t="shared" si="12"/>
        <v>0.3180486339782731</v>
      </c>
      <c r="N51" s="85">
        <f t="shared" si="13"/>
        <v>0.22276057271445071</v>
      </c>
      <c r="O51" s="19"/>
      <c r="P51" s="64">
        <f t="shared" si="15"/>
        <v>0.26713530196585039</v>
      </c>
      <c r="Q51" s="12"/>
      <c r="R51" s="12">
        <v>1</v>
      </c>
      <c r="S51" s="12"/>
      <c r="T51" s="65">
        <f t="shared" si="1"/>
        <v>0.26713530196585039</v>
      </c>
      <c r="V51" s="55">
        <f t="shared" si="2"/>
        <v>236.92977617722443</v>
      </c>
      <c r="W51" s="11"/>
      <c r="X51" s="76">
        <f t="shared" si="3"/>
        <v>0.10370307791364812</v>
      </c>
      <c r="Y51" s="77"/>
      <c r="Z51" s="76">
        <f t="shared" si="4"/>
        <v>1.925853691781319E-2</v>
      </c>
      <c r="AB51" s="74">
        <v>26.595403915999999</v>
      </c>
      <c r="AC51" s="2">
        <f t="shared" si="5"/>
        <v>18.323646525804701</v>
      </c>
      <c r="AD51" s="2">
        <f t="shared" si="16"/>
        <v>5.6132159757891209E-3</v>
      </c>
      <c r="AE51" s="57">
        <f t="shared" si="7"/>
        <v>0.10285458541335978</v>
      </c>
      <c r="AG51" s="89"/>
    </row>
    <row r="52" spans="9:33" x14ac:dyDescent="0.2">
      <c r="I52" s="56">
        <f t="shared" si="14"/>
        <v>45</v>
      </c>
      <c r="J52" s="19">
        <f t="shared" si="9"/>
        <v>6.7205512739749423E-2</v>
      </c>
      <c r="K52" s="19">
        <f t="shared" si="10"/>
        <v>4.1411008649615867E-2</v>
      </c>
      <c r="L52" s="19">
        <f t="shared" si="11"/>
        <v>0.34052316328711052</v>
      </c>
      <c r="M52" s="19">
        <f t="shared" si="12"/>
        <v>0.32256238564906969</v>
      </c>
      <c r="N52" s="85">
        <f t="shared" si="13"/>
        <v>0.22829792967445314</v>
      </c>
      <c r="O52" s="19"/>
      <c r="P52" s="64">
        <f t="shared" si="15"/>
        <v>0.25924026064589156</v>
      </c>
      <c r="Q52" s="12"/>
      <c r="R52" s="12">
        <v>1</v>
      </c>
      <c r="S52" s="12"/>
      <c r="T52" s="65">
        <f t="shared" si="1"/>
        <v>0.25924026064589156</v>
      </c>
      <c r="V52" s="55">
        <f t="shared" si="2"/>
        <v>226.89511360194362</v>
      </c>
      <c r="W52" s="11"/>
      <c r="X52" s="76">
        <f t="shared" si="3"/>
        <v>9.8242856166843542E-2</v>
      </c>
      <c r="Y52" s="77"/>
      <c r="Z52" s="76">
        <f t="shared" si="4"/>
        <v>1.8450856153144506E-2</v>
      </c>
      <c r="AB52" s="74">
        <v>25.680895339999999</v>
      </c>
      <c r="AC52" s="2">
        <f t="shared" si="5"/>
        <v>17.906151045433177</v>
      </c>
      <c r="AD52" s="2">
        <f t="shared" si="16"/>
        <v>5.5373569600024319E-3</v>
      </c>
      <c r="AE52" s="57">
        <f t="shared" si="7"/>
        <v>9.9152750118284227E-2</v>
      </c>
      <c r="AG52" s="89"/>
    </row>
    <row r="53" spans="9:33" x14ac:dyDescent="0.2">
      <c r="I53" s="56">
        <f t="shared" si="14"/>
        <v>46</v>
      </c>
      <c r="J53" s="19">
        <f t="shared" si="9"/>
        <v>6.3291768359640399E-2</v>
      </c>
      <c r="K53" s="19">
        <f t="shared" si="10"/>
        <v>3.9088693574381501E-2</v>
      </c>
      <c r="L53" s="19">
        <f t="shared" si="11"/>
        <v>0.33688489190460508</v>
      </c>
      <c r="M53" s="19">
        <f t="shared" si="12"/>
        <v>0.3269768885626263</v>
      </c>
      <c r="N53" s="85">
        <f t="shared" si="13"/>
        <v>0.2337577575987454</v>
      </c>
      <c r="O53" s="19"/>
      <c r="P53" s="64">
        <f t="shared" si="15"/>
        <v>0.25157855305975652</v>
      </c>
      <c r="Q53" s="12"/>
      <c r="R53" s="12">
        <v>1</v>
      </c>
      <c r="S53" s="12"/>
      <c r="T53" s="65">
        <f t="shared" si="1"/>
        <v>0.25157855305975652</v>
      </c>
      <c r="V53" s="55">
        <f t="shared" si="2"/>
        <v>217.17466052594199</v>
      </c>
      <c r="W53" s="11"/>
      <c r="X53" s="76">
        <f t="shared" si="3"/>
        <v>9.3067445548871183E-2</v>
      </c>
      <c r="Y53" s="77"/>
      <c r="Z53" s="76">
        <f t="shared" si="4"/>
        <v>1.7667650614516379E-2</v>
      </c>
      <c r="AB53" s="74">
        <v>24.802356295999999</v>
      </c>
      <c r="AC53" s="2">
        <f t="shared" si="5"/>
        <v>17.494143971259124</v>
      </c>
      <c r="AD53" s="2">
        <f t="shared" si="16"/>
        <v>5.4598279242922543E-3</v>
      </c>
      <c r="AE53" s="57">
        <f t="shared" si="7"/>
        <v>9.5515015765869557E-2</v>
      </c>
      <c r="AG53" s="89"/>
    </row>
    <row r="54" spans="9:33" x14ac:dyDescent="0.2">
      <c r="I54" s="56">
        <f t="shared" si="14"/>
        <v>47</v>
      </c>
      <c r="J54" s="19">
        <f t="shared" si="9"/>
        <v>5.9605942708939041E-2</v>
      </c>
      <c r="K54" s="19">
        <f t="shared" si="10"/>
        <v>3.6890088866156044E-2</v>
      </c>
      <c r="L54" s="19">
        <f t="shared" si="11"/>
        <v>0.33307142680735274</v>
      </c>
      <c r="M54" s="19">
        <f t="shared" si="12"/>
        <v>0.33129391699479566</v>
      </c>
      <c r="N54" s="85">
        <f t="shared" si="13"/>
        <v>0.23913862462275515</v>
      </c>
      <c r="O54" s="19"/>
      <c r="P54" s="64">
        <f t="shared" si="15"/>
        <v>0.24414328315343711</v>
      </c>
      <c r="Q54" s="12"/>
      <c r="R54" s="12">
        <v>1</v>
      </c>
      <c r="S54" s="12"/>
      <c r="T54" s="65">
        <f t="shared" si="1"/>
        <v>0.24414328315343711</v>
      </c>
      <c r="V54" s="55">
        <f t="shared" si="2"/>
        <v>207.7702183730799</v>
      </c>
      <c r="W54" s="11"/>
      <c r="X54" s="76">
        <f t="shared" si="3"/>
        <v>8.8162255921718655E-2</v>
      </c>
      <c r="Y54" s="77"/>
      <c r="Z54" s="76">
        <f t="shared" si="4"/>
        <v>1.6909171335371603E-2</v>
      </c>
      <c r="AB54" s="74">
        <v>23.923817251999999</v>
      </c>
      <c r="AC54" s="2">
        <f t="shared" si="5"/>
        <v>17.071133602640145</v>
      </c>
      <c r="AD54" s="2">
        <f t="shared" si="16"/>
        <v>5.38086702400975E-3</v>
      </c>
      <c r="AE54" s="57">
        <f t="shared" si="7"/>
        <v>9.1857499864911124E-2</v>
      </c>
      <c r="AG54" s="89"/>
    </row>
    <row r="55" spans="9:33" x14ac:dyDescent="0.2">
      <c r="I55" s="56">
        <f t="shared" si="14"/>
        <v>48</v>
      </c>
      <c r="J55" s="19">
        <f t="shared" si="9"/>
        <v>5.613476283413342E-2</v>
      </c>
      <c r="K55" s="19">
        <f t="shared" si="10"/>
        <v>3.4809479511742639E-2</v>
      </c>
      <c r="L55" s="19">
        <f t="shared" si="11"/>
        <v>0.32910119733344745</v>
      </c>
      <c r="M55" s="19">
        <f t="shared" si="12"/>
        <v>0.3355152395350221</v>
      </c>
      <c r="N55" s="85">
        <f t="shared" si="13"/>
        <v>0.244439320785653</v>
      </c>
      <c r="O55" s="19"/>
      <c r="P55" s="64">
        <f t="shared" si="15"/>
        <v>0.23692775868212176</v>
      </c>
      <c r="Q55" s="12"/>
      <c r="R55" s="12">
        <v>1</v>
      </c>
      <c r="S55" s="12"/>
      <c r="T55" s="65">
        <f t="shared" si="1"/>
        <v>0.23692775868212176</v>
      </c>
      <c r="V55" s="55">
        <f t="shared" si="2"/>
        <v>198.68196649941106</v>
      </c>
      <c r="W55" s="11"/>
      <c r="X55" s="76">
        <f t="shared" si="3"/>
        <v>8.3513416157024803E-2</v>
      </c>
      <c r="Y55" s="77"/>
      <c r="Z55" s="76">
        <f t="shared" si="4"/>
        <v>1.6175528928523718E-2</v>
      </c>
      <c r="AB55" s="74">
        <v>23.045278207999999</v>
      </c>
      <c r="AC55" s="2">
        <f t="shared" si="5"/>
        <v>16.636826079358205</v>
      </c>
      <c r="AD55" s="2">
        <f t="shared" si="16"/>
        <v>5.3006961628978555E-3</v>
      </c>
      <c r="AE55" s="57">
        <f t="shared" si="7"/>
        <v>8.8186760161653013E-2</v>
      </c>
      <c r="AG55" s="89"/>
    </row>
    <row r="56" spans="9:33" x14ac:dyDescent="0.2">
      <c r="I56" s="56">
        <f t="shared" si="14"/>
        <v>49</v>
      </c>
      <c r="J56" s="19">
        <f t="shared" si="9"/>
        <v>5.2865728738350076E-2</v>
      </c>
      <c r="K56" s="19">
        <f t="shared" si="10"/>
        <v>3.2841290953086189E-2</v>
      </c>
      <c r="L56" s="19">
        <f t="shared" si="11"/>
        <v>0.32499152057112496</v>
      </c>
      <c r="M56" s="19">
        <f t="shared" si="12"/>
        <v>0.33964261709215016</v>
      </c>
      <c r="N56" s="85">
        <f t="shared" si="13"/>
        <v>0.2496588426452872</v>
      </c>
      <c r="O56" s="19"/>
      <c r="P56" s="64">
        <f t="shared" si="15"/>
        <v>0.22992548518672384</v>
      </c>
      <c r="Q56" s="12"/>
      <c r="R56" s="12">
        <v>1</v>
      </c>
      <c r="S56" s="12"/>
      <c r="T56" s="65">
        <f t="shared" si="1"/>
        <v>0.22992548518672384</v>
      </c>
      <c r="V56" s="55">
        <f t="shared" si="2"/>
        <v>189.90866897649431</v>
      </c>
      <c r="W56" s="11"/>
      <c r="X56" s="76">
        <f t="shared" si="3"/>
        <v>7.9107742037743886E-2</v>
      </c>
      <c r="Y56" s="77"/>
      <c r="Z56" s="76">
        <f t="shared" si="4"/>
        <v>1.5466710935479419E-2</v>
      </c>
      <c r="AB56" s="74">
        <v>22.166739163999999</v>
      </c>
      <c r="AC56" s="2">
        <f t="shared" si="5"/>
        <v>16.190919693197753</v>
      </c>
      <c r="AD56" s="2">
        <f t="shared" si="16"/>
        <v>5.2195218596342019E-3</v>
      </c>
      <c r="AE56" s="57">
        <f t="shared" si="7"/>
        <v>8.450885926622756E-2</v>
      </c>
      <c r="AG56" s="89"/>
    </row>
    <row r="57" spans="9:33" x14ac:dyDescent="0.2">
      <c r="I57" s="56">
        <f t="shared" si="14"/>
        <v>50</v>
      </c>
      <c r="J57" s="19">
        <f t="shared" si="9"/>
        <v>4.9787068367863667E-2</v>
      </c>
      <c r="K57" s="19">
        <f t="shared" si="10"/>
        <v>3.0980105753324716E-2</v>
      </c>
      <c r="L57" s="19">
        <f t="shared" si="11"/>
        <v>0.32075864608515858</v>
      </c>
      <c r="M57" s="19">
        <f t="shared" si="12"/>
        <v>0.34367780106463791</v>
      </c>
      <c r="N57" s="85">
        <f t="shared" si="13"/>
        <v>0.25479637872901373</v>
      </c>
      <c r="O57" s="19"/>
      <c r="P57" s="64">
        <f t="shared" si="15"/>
        <v>0.22313016014842982</v>
      </c>
      <c r="Q57" s="12"/>
      <c r="R57" s="12">
        <v>1</v>
      </c>
      <c r="S57" s="12"/>
      <c r="T57" s="65">
        <f t="shared" si="1"/>
        <v>0.22313016014842982</v>
      </c>
      <c r="V57" s="55">
        <f t="shared" si="2"/>
        <v>181.4478617093564</v>
      </c>
      <c r="W57" s="11"/>
      <c r="X57" s="76">
        <f t="shared" si="3"/>
        <v>7.493270515446912E-2</v>
      </c>
      <c r="Y57" s="77"/>
      <c r="Z57" s="76">
        <f t="shared" si="4"/>
        <v>1.4782597568101404E-2</v>
      </c>
      <c r="AB57" s="74">
        <v>21.288200119999999</v>
      </c>
      <c r="AC57" s="2">
        <f t="shared" si="5"/>
        <v>15.733104678352621</v>
      </c>
      <c r="AD57" s="2">
        <f t="shared" si="16"/>
        <v>5.1375360837265238E-3</v>
      </c>
      <c r="AE57" s="57">
        <f t="shared" si="7"/>
        <v>8.0829392994083177E-2</v>
      </c>
      <c r="AG57" s="89"/>
    </row>
    <row r="58" spans="9:33" x14ac:dyDescent="0.2">
      <c r="I58" s="56">
        <f t="shared" si="14"/>
        <v>51</v>
      </c>
      <c r="J58" s="19">
        <f t="shared" si="9"/>
        <v>4.6887695219988222E-2</v>
      </c>
      <c r="K58" s="19">
        <f t="shared" si="10"/>
        <v>2.922067608322047E-2</v>
      </c>
      <c r="L58" s="19">
        <f t="shared" si="11"/>
        <v>0.31641780124247965</v>
      </c>
      <c r="M58" s="19">
        <f t="shared" si="12"/>
        <v>0.34762253166554347</v>
      </c>
      <c r="N58" s="85">
        <f t="shared" si="13"/>
        <v>0.25985129578876676</v>
      </c>
      <c r="O58" s="19"/>
      <c r="P58" s="64">
        <f t="shared" si="15"/>
        <v>0.21653566731600707</v>
      </c>
      <c r="Q58" s="12"/>
      <c r="R58" s="12">
        <v>1</v>
      </c>
      <c r="S58" s="12"/>
      <c r="T58" s="65">
        <f t="shared" si="1"/>
        <v>0.21653566731600707</v>
      </c>
      <c r="V58" s="55">
        <f t="shared" si="2"/>
        <v>173.29602141563669</v>
      </c>
      <c r="W58" s="11"/>
      <c r="X58" s="76">
        <f t="shared" si="3"/>
        <v>7.0976402832882701E-2</v>
      </c>
      <c r="Y58" s="77"/>
      <c r="Z58" s="76">
        <f t="shared" si="4"/>
        <v>1.4122975961322394E-2</v>
      </c>
      <c r="AB58" s="74">
        <v>20.451263034</v>
      </c>
      <c r="AC58" s="2">
        <f t="shared" si="5"/>
        <v>15.285601687333003</v>
      </c>
      <c r="AD58" s="2">
        <f t="shared" si="16"/>
        <v>5.054917059753028E-3</v>
      </c>
      <c r="AE58" s="57">
        <f t="shared" si="7"/>
        <v>7.7267448737889266E-2</v>
      </c>
      <c r="AG58" s="89"/>
    </row>
    <row r="59" spans="9:33" x14ac:dyDescent="0.2">
      <c r="I59" s="56">
        <f t="shared" si="14"/>
        <v>52</v>
      </c>
      <c r="J59" s="19">
        <f t="shared" si="9"/>
        <v>4.4157168419692611E-2</v>
      </c>
      <c r="K59" s="19">
        <f t="shared" si="10"/>
        <v>2.7557932685857989E-2</v>
      </c>
      <c r="L59" s="19">
        <f t="shared" si="11"/>
        <v>0.31198323667324618</v>
      </c>
      <c r="M59" s="19">
        <f t="shared" si="12"/>
        <v>0.35147853639307003</v>
      </c>
      <c r="N59" s="85">
        <f t="shared" si="13"/>
        <v>0.26482312582813172</v>
      </c>
      <c r="O59" s="19"/>
      <c r="P59" s="64">
        <f t="shared" si="15"/>
        <v>0.21013607120076472</v>
      </c>
      <c r="Q59" s="12"/>
      <c r="R59" s="12">
        <v>1</v>
      </c>
      <c r="S59" s="12"/>
      <c r="T59" s="65">
        <f t="shared" si="1"/>
        <v>0.21013607120076472</v>
      </c>
      <c r="V59" s="55">
        <f t="shared" si="2"/>
        <v>165.44871791106419</v>
      </c>
      <c r="W59" s="11"/>
      <c r="X59" s="76">
        <f t="shared" si="3"/>
        <v>6.722752911484639E-2</v>
      </c>
      <c r="Y59" s="77"/>
      <c r="Z59" s="76">
        <f t="shared" si="4"/>
        <v>1.3487553050442752E-2</v>
      </c>
      <c r="AB59" s="74">
        <v>19.614325948000001</v>
      </c>
      <c r="AC59" s="2">
        <f t="shared" si="5"/>
        <v>14.82672049601285</v>
      </c>
      <c r="AD59" s="2">
        <f t="shared" si="16"/>
        <v>4.9718300393649661E-3</v>
      </c>
      <c r="AE59" s="57">
        <f t="shared" si="7"/>
        <v>7.3715934347344914E-2</v>
      </c>
      <c r="AG59" s="89"/>
    </row>
    <row r="60" spans="9:33" x14ac:dyDescent="0.2">
      <c r="I60" s="56">
        <f t="shared" si="14"/>
        <v>53</v>
      </c>
      <c r="J60" s="19">
        <f t="shared" si="9"/>
        <v>4.1585655121172925E-2</v>
      </c>
      <c r="K60" s="19">
        <f t="shared" si="10"/>
        <v>2.5986990885648775E-2</v>
      </c>
      <c r="L60" s="19">
        <f t="shared" si="11"/>
        <v>0.30746827148635325</v>
      </c>
      <c r="M60" s="19">
        <f t="shared" si="12"/>
        <v>0.35524752863786935</v>
      </c>
      <c r="N60" s="85">
        <f t="shared" si="13"/>
        <v>0.26971155386895418</v>
      </c>
      <c r="O60" s="19"/>
      <c r="P60" s="64">
        <f t="shared" si="15"/>
        <v>0.20392561173421347</v>
      </c>
      <c r="Q60" s="12"/>
      <c r="R60" s="12">
        <v>1</v>
      </c>
      <c r="S60" s="12"/>
      <c r="T60" s="65">
        <f t="shared" si="1"/>
        <v>0.20392561173421347</v>
      </c>
      <c r="V60" s="55">
        <f t="shared" si="2"/>
        <v>157.90075106300023</v>
      </c>
      <c r="W60" s="11"/>
      <c r="X60" s="76">
        <f t="shared" si="3"/>
        <v>6.367534680413886E-2</v>
      </c>
      <c r="Y60" s="77"/>
      <c r="Z60" s="76">
        <f t="shared" si="4"/>
        <v>1.2875967180924625E-2</v>
      </c>
      <c r="AB60" s="74">
        <v>18.777388861999999</v>
      </c>
      <c r="AC60" s="2">
        <f t="shared" si="5"/>
        <v>14.356171802544639</v>
      </c>
      <c r="AD60" s="2">
        <f t="shared" si="16"/>
        <v>4.8884280408224567E-3</v>
      </c>
      <c r="AE60" s="57">
        <f t="shared" si="7"/>
        <v>7.0179112798423884E-2</v>
      </c>
      <c r="AG60" s="89"/>
    </row>
    <row r="61" spans="9:33" x14ac:dyDescent="0.2">
      <c r="I61" s="56">
        <f t="shared" si="14"/>
        <v>54</v>
      </c>
      <c r="J61" s="19">
        <f t="shared" si="9"/>
        <v>3.9163895098986837E-2</v>
      </c>
      <c r="K61" s="19">
        <f t="shared" si="10"/>
        <v>2.4503154128098153E-2</v>
      </c>
      <c r="L61" s="19">
        <f t="shared" si="11"/>
        <v>0.30288533792912092</v>
      </c>
      <c r="M61" s="19">
        <f t="shared" si="12"/>
        <v>0.35893120641871457</v>
      </c>
      <c r="N61" s="85">
        <f t="shared" si="13"/>
        <v>0.27451640642507802</v>
      </c>
      <c r="O61" s="19"/>
      <c r="P61" s="64">
        <f t="shared" si="15"/>
        <v>0.19789869908361471</v>
      </c>
      <c r="Q61" s="12"/>
      <c r="R61" s="12">
        <v>1</v>
      </c>
      <c r="S61" s="12"/>
      <c r="T61" s="65">
        <f t="shared" si="1"/>
        <v>0.19789869908361471</v>
      </c>
      <c r="V61" s="55">
        <f t="shared" si="2"/>
        <v>150.64627368997202</v>
      </c>
      <c r="W61" s="11"/>
      <c r="X61" s="76">
        <f t="shared" si="3"/>
        <v>6.0309660578402029E-2</v>
      </c>
      <c r="Y61" s="77"/>
      <c r="Z61" s="76">
        <f t="shared" si="4"/>
        <v>1.2287798552715702E-2</v>
      </c>
      <c r="AB61" s="74">
        <v>17.940451776</v>
      </c>
      <c r="AC61" s="2">
        <f t="shared" si="5"/>
        <v>13.873658949298999</v>
      </c>
      <c r="AD61" s="2">
        <f t="shared" si="16"/>
        <v>4.8048525561238398E-3</v>
      </c>
      <c r="AE61" s="57">
        <f t="shared" si="7"/>
        <v>6.6660885665329683E-2</v>
      </c>
      <c r="AG61" s="89"/>
    </row>
    <row r="62" spans="9:33" x14ac:dyDescent="0.2">
      <c r="I62" s="56">
        <f t="shared" si="14"/>
        <v>55</v>
      </c>
      <c r="J62" s="19">
        <f t="shared" si="9"/>
        <v>3.6883167401239779E-2</v>
      </c>
      <c r="K62" s="19">
        <f t="shared" si="10"/>
        <v>2.3101915467861805E-2</v>
      </c>
      <c r="L62" s="19">
        <f t="shared" si="11"/>
        <v>0.29824602524123445</v>
      </c>
      <c r="M62" s="19">
        <f t="shared" si="12"/>
        <v>0.36253125123855523</v>
      </c>
      <c r="N62" s="85">
        <f t="shared" si="13"/>
        <v>0.27923764065110723</v>
      </c>
      <c r="O62" s="19"/>
      <c r="P62" s="64">
        <f t="shared" si="15"/>
        <v>0.19204990862075413</v>
      </c>
      <c r="Q62" s="12"/>
      <c r="R62" s="12">
        <v>1</v>
      </c>
      <c r="S62" s="12"/>
      <c r="T62" s="65">
        <f t="shared" si="1"/>
        <v>0.19204990862075413</v>
      </c>
      <c r="V62" s="55">
        <f t="shared" si="2"/>
        <v>143.67890160219144</v>
      </c>
      <c r="W62" s="11"/>
      <c r="X62" s="76">
        <f t="shared" si="3"/>
        <v>5.7120791161156731E-2</v>
      </c>
      <c r="Y62" s="77"/>
      <c r="Z62" s="76">
        <f t="shared" si="4"/>
        <v>1.1722578595139074E-2</v>
      </c>
      <c r="AB62" s="74">
        <v>17.103514690000001</v>
      </c>
      <c r="AC62" s="2">
        <f t="shared" si="5"/>
        <v>13.378877735836815</v>
      </c>
      <c r="AD62" s="2">
        <f t="shared" si="16"/>
        <v>4.7212342260292139E-3</v>
      </c>
      <c r="AE62" s="57">
        <f t="shared" si="7"/>
        <v>6.3164815472293009E-2</v>
      </c>
      <c r="AG62" s="89"/>
    </row>
    <row r="63" spans="9:33" x14ac:dyDescent="0.2">
      <c r="I63" s="56">
        <f t="shared" si="14"/>
        <v>56</v>
      </c>
      <c r="J63" s="19">
        <f t="shared" si="9"/>
        <v>3.4735258944738341E-2</v>
      </c>
      <c r="K63" s="19">
        <f t="shared" si="10"/>
        <v>2.1778957362949509E-2</v>
      </c>
      <c r="L63" s="19">
        <f t="shared" si="11"/>
        <v>0.29356112250437177</v>
      </c>
      <c r="M63" s="19">
        <f t="shared" si="12"/>
        <v>0.36604932705336218</v>
      </c>
      <c r="N63" s="85">
        <f t="shared" si="13"/>
        <v>0.28387533413457666</v>
      </c>
      <c r="O63" s="19"/>
      <c r="P63" s="64">
        <f t="shared" si="15"/>
        <v>0.18637397603940997</v>
      </c>
      <c r="Q63" s="12"/>
      <c r="R63" s="12">
        <v>1</v>
      </c>
      <c r="S63" s="12"/>
      <c r="T63" s="65">
        <f t="shared" si="1"/>
        <v>0.18637397603940997</v>
      </c>
      <c r="V63" s="55">
        <f t="shared" si="2"/>
        <v>136.99181189697296</v>
      </c>
      <c r="W63" s="11"/>
      <c r="X63" s="76">
        <f t="shared" si="3"/>
        <v>5.4099550541514434E-2</v>
      </c>
      <c r="Y63" s="77"/>
      <c r="Z63" s="76">
        <f t="shared" si="4"/>
        <v>1.1179798362383073E-2</v>
      </c>
      <c r="AB63" s="74">
        <v>16.330556705999999</v>
      </c>
      <c r="AC63" s="2">
        <f t="shared" si="5"/>
        <v>12.910752421145837</v>
      </c>
      <c r="AD63" s="2">
        <f t="shared" si="16"/>
        <v>4.6376934834694294E-3</v>
      </c>
      <c r="AE63" s="57">
        <f t="shared" si="7"/>
        <v>5.9876112370235206E-2</v>
      </c>
      <c r="AG63" s="89"/>
    </row>
    <row r="64" spans="9:33" x14ac:dyDescent="0.2">
      <c r="I64" s="56">
        <f t="shared" si="14"/>
        <v>57</v>
      </c>
      <c r="J64" s="19">
        <f t="shared" si="9"/>
        <v>3.2712434939019604E-2</v>
      </c>
      <c r="K64" s="19">
        <f t="shared" si="10"/>
        <v>2.0530150081304804E-2</v>
      </c>
      <c r="L64" s="19">
        <f t="shared" si="11"/>
        <v>0.28884066033255706</v>
      </c>
      <c r="M64" s="19">
        <f t="shared" si="12"/>
        <v>0.36948707934655339</v>
      </c>
      <c r="N64" s="85">
        <f t="shared" si="13"/>
        <v>0.28842967530056357</v>
      </c>
      <c r="O64" s="19"/>
      <c r="P64" s="64">
        <f t="shared" si="15"/>
        <v>0.1808657926171221</v>
      </c>
      <c r="Q64" s="12"/>
      <c r="R64" s="12">
        <v>1</v>
      </c>
      <c r="S64" s="12"/>
      <c r="T64" s="65">
        <f t="shared" si="1"/>
        <v>0.1808657926171221</v>
      </c>
      <c r="V64" s="55">
        <f t="shared" si="2"/>
        <v>130.57783054444721</v>
      </c>
      <c r="W64" s="11"/>
      <c r="X64" s="76">
        <f t="shared" si="3"/>
        <v>5.1237218224215994E-2</v>
      </c>
      <c r="Y64" s="77"/>
      <c r="Z64" s="76">
        <f t="shared" si="4"/>
        <v>1.0658916033703494E-2</v>
      </c>
      <c r="AB64" s="74">
        <v>15.557598722</v>
      </c>
      <c r="AC64" s="2">
        <f t="shared" si="5"/>
        <v>12.431645032341947</v>
      </c>
      <c r="AD64" s="2">
        <f t="shared" si="16"/>
        <v>4.5543411659869082E-3</v>
      </c>
      <c r="AE64" s="57">
        <f t="shared" si="7"/>
        <v>5.6617952731731577E-2</v>
      </c>
      <c r="AG64" s="89"/>
    </row>
    <row r="65" spans="9:33" x14ac:dyDescent="0.2">
      <c r="I65" s="56">
        <f t="shared" si="14"/>
        <v>58</v>
      </c>
      <c r="J65" s="19">
        <f t="shared" si="9"/>
        <v>3.0807411032750875E-2</v>
      </c>
      <c r="K65" s="19">
        <f t="shared" si="10"/>
        <v>1.9351548981343957E-2</v>
      </c>
      <c r="L65" s="19">
        <f t="shared" si="11"/>
        <v>0.2840939512851991</v>
      </c>
      <c r="M65" s="19">
        <f t="shared" si="12"/>
        <v>0.37284613430216351</v>
      </c>
      <c r="N65" s="85">
        <f t="shared" si="13"/>
        <v>0.29290095439854097</v>
      </c>
      <c r="O65" s="19"/>
      <c r="P65" s="64">
        <f t="shared" si="15"/>
        <v>0.17552040061699686</v>
      </c>
      <c r="Q65" s="12"/>
      <c r="R65" s="12">
        <v>1</v>
      </c>
      <c r="S65" s="12"/>
      <c r="T65" s="65">
        <f t="shared" si="1"/>
        <v>0.17552040061699686</v>
      </c>
      <c r="V65" s="55">
        <f t="shared" si="2"/>
        <v>124.42951022353586</v>
      </c>
      <c r="W65" s="11"/>
      <c r="X65" s="76">
        <f t="shared" si="3"/>
        <v>4.8525518488672592E-2</v>
      </c>
      <c r="Y65" s="77"/>
      <c r="Z65" s="76">
        <f t="shared" si="4"/>
        <v>1.0159363596674423E-2</v>
      </c>
      <c r="AB65" s="74">
        <v>14.784640738</v>
      </c>
      <c r="AC65" s="2">
        <f t="shared" si="5"/>
        <v>11.941297933386169</v>
      </c>
      <c r="AD65" s="2">
        <f t="shared" si="16"/>
        <v>4.4712790979773986E-3</v>
      </c>
      <c r="AE65" s="57">
        <f t="shared" si="7"/>
        <v>5.3392875852270281E-2</v>
      </c>
      <c r="AG65" s="89"/>
    </row>
    <row r="66" spans="9:33" x14ac:dyDescent="0.2">
      <c r="I66" s="58">
        <f t="shared" si="14"/>
        <v>59</v>
      </c>
      <c r="J66" s="86">
        <f t="shared" si="9"/>
        <v>2.9013327082196862E-2</v>
      </c>
      <c r="K66" s="86">
        <f t="shared" si="10"/>
        <v>1.8239390889455226E-2</v>
      </c>
      <c r="L66" s="86">
        <f t="shared" si="11"/>
        <v>0.27932962891593205</v>
      </c>
      <c r="M66" s="86">
        <f t="shared" si="12"/>
        <v>0.37612809807028041</v>
      </c>
      <c r="N66" s="87">
        <f t="shared" si="13"/>
        <v>0.29728955504213384</v>
      </c>
      <c r="O66" s="19"/>
      <c r="P66" s="66">
        <f t="shared" si="15"/>
        <v>0.17033298882540943</v>
      </c>
      <c r="Q66" s="67"/>
      <c r="R66" s="68">
        <v>0.5</v>
      </c>
      <c r="S66" s="67"/>
      <c r="T66" s="69">
        <f t="shared" si="1"/>
        <v>8.5166494412704713E-2</v>
      </c>
      <c r="V66" s="55">
        <f t="shared" si="2"/>
        <v>59.269599648080963</v>
      </c>
      <c r="W66" s="11"/>
      <c r="X66" s="76">
        <f t="shared" si="3"/>
        <v>2.2978299316301212E-2</v>
      </c>
      <c r="Y66" s="77"/>
      <c r="Z66" s="76">
        <f t="shared" si="4"/>
        <v>4.8402763931210133E-3</v>
      </c>
      <c r="AB66" s="75">
        <v>14.011682754000001</v>
      </c>
      <c r="AC66" s="59">
        <f t="shared" si="5"/>
        <v>11.439447444178276</v>
      </c>
      <c r="AD66" s="59">
        <f t="shared" si="16"/>
        <v>4.3886006435928659E-3</v>
      </c>
      <c r="AE66" s="136">
        <f t="shared" si="7"/>
        <v>2.5101583207933775E-2</v>
      </c>
      <c r="AG66" s="89"/>
    </row>
    <row r="67" spans="9:33" x14ac:dyDescent="0.2">
      <c r="P67" s="12"/>
      <c r="Q67" s="12"/>
      <c r="R67" s="12"/>
      <c r="S67" s="12"/>
      <c r="T67" s="12"/>
      <c r="V67" s="11"/>
      <c r="W67" s="11"/>
      <c r="Y67" s="11"/>
    </row>
  </sheetData>
  <mergeCells count="13">
    <mergeCell ref="AH6:AL6"/>
    <mergeCell ref="AJ7:AL7"/>
    <mergeCell ref="C16:G16"/>
    <mergeCell ref="A18:A22"/>
    <mergeCell ref="AH7:AI7"/>
    <mergeCell ref="I2:N5"/>
    <mergeCell ref="P2:T2"/>
    <mergeCell ref="V2:AE2"/>
    <mergeCell ref="AB4:AE4"/>
    <mergeCell ref="V5:V6"/>
    <mergeCell ref="X5:X6"/>
    <mergeCell ref="Z5:Z6"/>
    <mergeCell ref="AE5:AE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85B48-814B-6549-AC5C-26C78DA4F199}">
  <sheetPr codeName="Sheet6"/>
  <dimension ref="A1:H28"/>
  <sheetViews>
    <sheetView zoomScale="221" zoomScaleNormal="221" workbookViewId="0">
      <selection activeCell="G21" sqref="G21"/>
    </sheetView>
  </sheetViews>
  <sheetFormatPr baseColWidth="10" defaultRowHeight="16" x14ac:dyDescent="0.2"/>
  <cols>
    <col min="1" max="1" width="10.83203125" style="2"/>
    <col min="2" max="2" width="15.6640625" style="2" customWidth="1"/>
    <col min="3" max="4" width="18.5" style="2" customWidth="1"/>
    <col min="5" max="5" width="20.5" style="2" customWidth="1"/>
    <col min="6" max="6" width="17.1640625" style="2" customWidth="1"/>
    <col min="7" max="8" width="19.83203125" style="2" customWidth="1"/>
    <col min="9" max="16384" width="10.83203125" style="2"/>
  </cols>
  <sheetData>
    <row r="1" spans="1:8" x14ac:dyDescent="0.2">
      <c r="A1" s="20" t="s">
        <v>21</v>
      </c>
    </row>
    <row r="2" spans="1:8" x14ac:dyDescent="0.2">
      <c r="A2" s="5" t="s">
        <v>18</v>
      </c>
    </row>
    <row r="3" spans="1:8" ht="85" x14ac:dyDescent="0.2">
      <c r="B3" s="14" t="s">
        <v>6</v>
      </c>
      <c r="C3" s="14" t="s">
        <v>10</v>
      </c>
      <c r="D3" s="14" t="s">
        <v>11</v>
      </c>
      <c r="E3" s="14" t="s">
        <v>12</v>
      </c>
      <c r="F3" s="99" t="s">
        <v>149</v>
      </c>
      <c r="G3" s="99" t="s">
        <v>148</v>
      </c>
      <c r="H3" s="14" t="s">
        <v>13</v>
      </c>
    </row>
    <row r="4" spans="1:8" x14ac:dyDescent="0.2">
      <c r="B4" s="2" t="s">
        <v>73</v>
      </c>
      <c r="C4" s="95">
        <f>Cost_NH</f>
        <v>12746.238995049711</v>
      </c>
      <c r="D4" s="96">
        <f>DALY_NH</f>
        <v>11.488186409252421</v>
      </c>
    </row>
    <row r="5" spans="1:8" x14ac:dyDescent="0.2">
      <c r="B5" s="2" t="s">
        <v>2</v>
      </c>
      <c r="C5" s="15">
        <f>Cost_TxA</f>
        <v>13182.172618073306</v>
      </c>
      <c r="D5" s="16">
        <f>DALY_TxA</f>
        <v>11.392199906338199</v>
      </c>
      <c r="E5" s="18">
        <f t="shared" ref="E5:E8" si="0">C5-C4</f>
        <v>435.93362302359492</v>
      </c>
      <c r="F5" s="19">
        <f>(D5-D4)*-1</f>
        <v>9.5986502914222172E-2</v>
      </c>
      <c r="G5" s="17"/>
    </row>
    <row r="6" spans="1:8" x14ac:dyDescent="0.2">
      <c r="B6" s="2" t="s">
        <v>4</v>
      </c>
      <c r="C6" s="18">
        <f>Cost_TxB</f>
        <v>13855.465780422239</v>
      </c>
      <c r="D6" s="17">
        <f>DALY_TxB</f>
        <v>10.985048449765424</v>
      </c>
      <c r="E6" s="18">
        <f t="shared" si="0"/>
        <v>673.29316234893304</v>
      </c>
      <c r="F6" s="19">
        <f>(D6-D5)*-1</f>
        <v>0.40715145657277496</v>
      </c>
      <c r="G6" s="18">
        <f>E6/F6</f>
        <v>1653.6675762293078</v>
      </c>
    </row>
    <row r="7" spans="1:8" x14ac:dyDescent="0.2">
      <c r="B7" s="2" t="s">
        <v>14</v>
      </c>
      <c r="C7" s="18">
        <f>Cost_TxC</f>
        <v>15273.149639156478</v>
      </c>
      <c r="D7" s="17">
        <f>DALY_TxC</f>
        <v>11.243977906656797</v>
      </c>
      <c r="E7" s="18">
        <f t="shared" si="0"/>
        <v>1417.683858734239</v>
      </c>
      <c r="F7" s="19">
        <f>(D7-D6)*-1</f>
        <v>-0.25892945689137292</v>
      </c>
      <c r="G7" s="18">
        <f>E7/F7</f>
        <v>-5475.1741101785537</v>
      </c>
      <c r="H7" s="2" t="s">
        <v>141</v>
      </c>
    </row>
    <row r="8" spans="1:8" x14ac:dyDescent="0.2">
      <c r="B8" s="2" t="s">
        <v>15</v>
      </c>
      <c r="C8" s="18">
        <f>Cost_TxD</f>
        <v>19305.268563551799</v>
      </c>
      <c r="D8" s="17">
        <f>DALY_TxD</f>
        <v>7.951967389403463</v>
      </c>
      <c r="E8" s="18">
        <f t="shared" si="0"/>
        <v>4032.1189243953213</v>
      </c>
      <c r="F8" s="19">
        <f>(D8-D7)*-1</f>
        <v>3.2920105172533338</v>
      </c>
      <c r="G8" s="18">
        <f>E8/F8</f>
        <v>1224.8195755338872</v>
      </c>
    </row>
    <row r="10" spans="1:8" x14ac:dyDescent="0.2">
      <c r="A10" s="5" t="s">
        <v>19</v>
      </c>
    </row>
    <row r="11" spans="1:8" ht="85" x14ac:dyDescent="0.2">
      <c r="B11" s="14" t="s">
        <v>6</v>
      </c>
      <c r="C11" s="14" t="s">
        <v>10</v>
      </c>
      <c r="D11" s="14" t="s">
        <v>11</v>
      </c>
      <c r="E11" s="14" t="s">
        <v>12</v>
      </c>
      <c r="F11" s="99" t="s">
        <v>149</v>
      </c>
      <c r="G11" s="99" t="s">
        <v>148</v>
      </c>
      <c r="H11" s="14" t="s">
        <v>13</v>
      </c>
    </row>
    <row r="12" spans="1:8" x14ac:dyDescent="0.2">
      <c r="B12" s="2" t="s">
        <v>73</v>
      </c>
      <c r="C12" s="95">
        <f>Cost_NH</f>
        <v>12746.238995049711</v>
      </c>
      <c r="D12" s="96">
        <f>DALY_NH</f>
        <v>11.488186409252421</v>
      </c>
    </row>
    <row r="13" spans="1:8" x14ac:dyDescent="0.2">
      <c r="B13" s="2" t="s">
        <v>2</v>
      </c>
      <c r="C13" s="15">
        <f>Cost_TxA</f>
        <v>13182.172618073306</v>
      </c>
      <c r="D13" s="16">
        <f>DALY_TxA</f>
        <v>11.392199906338199</v>
      </c>
      <c r="E13" s="18">
        <f t="shared" ref="E13" si="1">C13-C12</f>
        <v>435.93362302359492</v>
      </c>
      <c r="F13" s="19">
        <f>(D13-D12)*-1</f>
        <v>9.5986502914222172E-2</v>
      </c>
      <c r="G13" s="18">
        <f>E13/F13</f>
        <v>4541.6137663976015</v>
      </c>
      <c r="H13" s="2" t="s">
        <v>143</v>
      </c>
    </row>
    <row r="14" spans="1:8" x14ac:dyDescent="0.2">
      <c r="B14" s="2" t="s">
        <v>4</v>
      </c>
      <c r="C14" s="18">
        <f>Cost_TxB</f>
        <v>13855.465780422239</v>
      </c>
      <c r="D14" s="17">
        <f>DALY_TxB</f>
        <v>10.985048449765424</v>
      </c>
      <c r="E14" s="18">
        <f>C14-C13</f>
        <v>673.29316234893304</v>
      </c>
      <c r="F14" s="19">
        <f>(D14-D13)*-1</f>
        <v>0.40715145657277496</v>
      </c>
      <c r="G14" s="18">
        <f>E14/F14</f>
        <v>1653.6675762293078</v>
      </c>
    </row>
    <row r="15" spans="1:8" x14ac:dyDescent="0.2">
      <c r="B15" s="2" t="s">
        <v>15</v>
      </c>
      <c r="C15" s="18">
        <f>Cost_TxD</f>
        <v>19305.268563551799</v>
      </c>
      <c r="D15" s="17">
        <f>DALY_TxD</f>
        <v>7.951967389403463</v>
      </c>
      <c r="E15" s="18">
        <f>C15-C14</f>
        <v>5449.8027831295603</v>
      </c>
      <c r="F15" s="19">
        <f>(D15-D14)*-1</f>
        <v>3.0330810603619609</v>
      </c>
      <c r="G15" s="18">
        <f>E15/F15</f>
        <v>1796.7877134411942</v>
      </c>
    </row>
    <row r="17" spans="1:8" x14ac:dyDescent="0.2">
      <c r="A17" s="5" t="s">
        <v>142</v>
      </c>
    </row>
    <row r="18" spans="1:8" ht="85" x14ac:dyDescent="0.2">
      <c r="B18" s="14" t="s">
        <v>6</v>
      </c>
      <c r="C18" s="14" t="s">
        <v>10</v>
      </c>
      <c r="D18" s="14" t="s">
        <v>11</v>
      </c>
      <c r="E18" s="14" t="s">
        <v>12</v>
      </c>
      <c r="F18" s="99" t="s">
        <v>149</v>
      </c>
      <c r="G18" s="99" t="s">
        <v>148</v>
      </c>
      <c r="H18" s="14" t="s">
        <v>13</v>
      </c>
    </row>
    <row r="19" spans="1:8" x14ac:dyDescent="0.2">
      <c r="B19" s="2" t="s">
        <v>73</v>
      </c>
      <c r="C19" s="95">
        <f>Cost_NH</f>
        <v>12746.238995049711</v>
      </c>
      <c r="D19" s="96">
        <f>DALY_NH</f>
        <v>11.488186409252421</v>
      </c>
    </row>
    <row r="20" spans="1:8" x14ac:dyDescent="0.2">
      <c r="B20" s="2" t="s">
        <v>4</v>
      </c>
      <c r="C20" s="18">
        <f>Cost_TxB</f>
        <v>13855.465780422239</v>
      </c>
      <c r="D20" s="17">
        <f>DALY_TxB</f>
        <v>10.985048449765424</v>
      </c>
      <c r="E20" s="18">
        <f>C20-C19</f>
        <v>1109.226785372528</v>
      </c>
      <c r="F20" s="19">
        <f>(D20-D19)*-1</f>
        <v>0.50313795948699713</v>
      </c>
      <c r="G20" s="18">
        <f>E20/F20</f>
        <v>2204.617569510166</v>
      </c>
    </row>
    <row r="21" spans="1:8" x14ac:dyDescent="0.2">
      <c r="B21" s="2" t="s">
        <v>15</v>
      </c>
      <c r="C21" s="18">
        <f>Cost_TxD</f>
        <v>19305.268563551799</v>
      </c>
      <c r="D21" s="17">
        <f>DALY_TxD</f>
        <v>7.951967389403463</v>
      </c>
      <c r="E21" s="18">
        <f>C21-C20</f>
        <v>5449.8027831295603</v>
      </c>
      <c r="F21" s="19">
        <f>(D21-D20)*-1</f>
        <v>3.0330810603619609</v>
      </c>
      <c r="G21" s="18">
        <f>E21/F21</f>
        <v>1796.7877134411942</v>
      </c>
    </row>
    <row r="22" spans="1:8" x14ac:dyDescent="0.2">
      <c r="A22" s="5"/>
    </row>
    <row r="23" spans="1:8" ht="85" x14ac:dyDescent="0.2">
      <c r="A23" s="6" t="s">
        <v>20</v>
      </c>
      <c r="B23" s="14" t="s">
        <v>6</v>
      </c>
      <c r="C23" s="14" t="s">
        <v>10</v>
      </c>
      <c r="D23" s="14" t="s">
        <v>11</v>
      </c>
      <c r="E23" s="14" t="s">
        <v>12</v>
      </c>
      <c r="F23" s="99" t="s">
        <v>149</v>
      </c>
      <c r="G23" s="99" t="s">
        <v>148</v>
      </c>
      <c r="H23" s="14" t="s">
        <v>13</v>
      </c>
    </row>
    <row r="24" spans="1:8" x14ac:dyDescent="0.2">
      <c r="B24" s="2" t="s">
        <v>73</v>
      </c>
      <c r="C24" s="95">
        <f>Cost_NH</f>
        <v>12746.238995049711</v>
      </c>
      <c r="D24" s="96">
        <f>DALY_NH</f>
        <v>11.488186409252421</v>
      </c>
    </row>
    <row r="25" spans="1:8" x14ac:dyDescent="0.2">
      <c r="B25" s="2" t="s">
        <v>144</v>
      </c>
      <c r="C25" s="18">
        <f>Cost_TxB</f>
        <v>13855.465780422239</v>
      </c>
      <c r="D25" s="101">
        <f>DALY_TxB</f>
        <v>10.985048449765424</v>
      </c>
      <c r="E25" s="18">
        <f>C25-C24</f>
        <v>1109.226785372528</v>
      </c>
      <c r="F25" s="19">
        <f>-1*(D25-D24)</f>
        <v>0.50313795948699713</v>
      </c>
      <c r="G25" s="18">
        <f>E25/F25</f>
        <v>2204.617569510166</v>
      </c>
    </row>
    <row r="26" spans="1:8" x14ac:dyDescent="0.2">
      <c r="B26" s="2" t="s">
        <v>145</v>
      </c>
      <c r="C26" s="18">
        <f>Cost_TxD</f>
        <v>19305.268563551799</v>
      </c>
      <c r="D26" s="101">
        <f>DALY_TxD</f>
        <v>7.951967389403463</v>
      </c>
      <c r="E26" s="18">
        <f>C26-C25</f>
        <v>5449.8027831295603</v>
      </c>
      <c r="F26" s="19">
        <f>(D26-D25)*-1</f>
        <v>3.0330810603619609</v>
      </c>
      <c r="G26" s="18">
        <f>E26/F26</f>
        <v>1796.7877134411942</v>
      </c>
    </row>
    <row r="27" spans="1:8" x14ac:dyDescent="0.2">
      <c r="B27" s="2" t="s">
        <v>146</v>
      </c>
      <c r="C27" s="15">
        <f>Cost_TxA</f>
        <v>13182.172618073306</v>
      </c>
      <c r="D27" s="102">
        <f>DALY_TxA</f>
        <v>11.392199906338199</v>
      </c>
      <c r="E27" s="100"/>
      <c r="F27" s="19"/>
      <c r="G27" s="18"/>
      <c r="H27" s="2" t="s">
        <v>143</v>
      </c>
    </row>
    <row r="28" spans="1:8" x14ac:dyDescent="0.2">
      <c r="B28" s="2" t="s">
        <v>147</v>
      </c>
      <c r="C28" s="18">
        <f>Cost_TxC</f>
        <v>15273.149639156478</v>
      </c>
      <c r="D28" s="101">
        <f>DALY_TxC</f>
        <v>11.243977906656797</v>
      </c>
      <c r="E28" s="100"/>
      <c r="F28" s="19"/>
      <c r="G28" s="18"/>
      <c r="H28" s="2" t="s">
        <v>141</v>
      </c>
    </row>
  </sheetData>
  <sortState xmlns:xlrd2="http://schemas.microsoft.com/office/spreadsheetml/2017/richdata2" ref="B5:H8">
    <sortCondition ref="C5:C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68</vt:i4>
      </vt:variant>
    </vt:vector>
  </HeadingPairs>
  <TitlesOfParts>
    <vt:vector size="77" baseType="lpstr">
      <vt:lpstr>parameters</vt:lpstr>
      <vt:lpstr>transition_matrices</vt:lpstr>
      <vt:lpstr>&lt;&lt;&lt; SETUP &lt;&lt;&lt;</vt:lpstr>
      <vt:lpstr>NH</vt:lpstr>
      <vt:lpstr>A</vt:lpstr>
      <vt:lpstr>B</vt:lpstr>
      <vt:lpstr>C</vt:lpstr>
      <vt:lpstr>D</vt:lpstr>
      <vt:lpstr>CEA</vt:lpstr>
      <vt:lpstr>age0</vt:lpstr>
      <vt:lpstr>c_DeadBG</vt:lpstr>
      <vt:lpstr>c_DeadDisease</vt:lpstr>
      <vt:lpstr>c_Healthy</vt:lpstr>
      <vt:lpstr>c_Sick</vt:lpstr>
      <vt:lpstr>c_Sicker</vt:lpstr>
      <vt:lpstr>c_TxA</vt:lpstr>
      <vt:lpstr>c_TxB</vt:lpstr>
      <vt:lpstr>c_TxC</vt:lpstr>
      <vt:lpstr>c_TxD</vt:lpstr>
      <vt:lpstr>Cost_NH</vt:lpstr>
      <vt:lpstr>Cost_TxA</vt:lpstr>
      <vt:lpstr>Cost_TxB</vt:lpstr>
      <vt:lpstr>Cost_TxC</vt:lpstr>
      <vt:lpstr>Cost_TxD</vt:lpstr>
      <vt:lpstr>cycle</vt:lpstr>
      <vt:lpstr>DALY_NH</vt:lpstr>
      <vt:lpstr>DALY_TxA</vt:lpstr>
      <vt:lpstr>DALY_TxB</vt:lpstr>
      <vt:lpstr>DALY_TxC</vt:lpstr>
      <vt:lpstr>DALY_TxD</vt:lpstr>
      <vt:lpstr>Delta_t</vt:lpstr>
      <vt:lpstr>dwS1_</vt:lpstr>
      <vt:lpstr>dwS1_unadj</vt:lpstr>
      <vt:lpstr>dwS2_</vt:lpstr>
      <vt:lpstr>dwS2_unadj</vt:lpstr>
      <vt:lpstr>horizon</vt:lpstr>
      <vt:lpstr>mP_NH</vt:lpstr>
      <vt:lpstr>mP_TxA</vt:lpstr>
      <vt:lpstr>mP_TxB</vt:lpstr>
      <vt:lpstr>mP_TxC</vt:lpstr>
      <vt:lpstr>mP_TxD</vt:lpstr>
      <vt:lpstr>pHDeadBG</vt:lpstr>
      <vt:lpstr>pHDeadDisease</vt:lpstr>
      <vt:lpstr>pHS1_</vt:lpstr>
      <vt:lpstr>pHS2_</vt:lpstr>
      <vt:lpstr>pS1DeadBG</vt:lpstr>
      <vt:lpstr>pS1DeadDisease</vt:lpstr>
      <vt:lpstr>pS1S2_</vt:lpstr>
      <vt:lpstr>pS2DeadBG</vt:lpstr>
      <vt:lpstr>pS2DeadDisease</vt:lpstr>
      <vt:lpstr>QALY_NH</vt:lpstr>
      <vt:lpstr>QALY_TxA</vt:lpstr>
      <vt:lpstr>QALY_TxB</vt:lpstr>
      <vt:lpstr>QALY_TxC</vt:lpstr>
      <vt:lpstr>QALY_TxD</vt:lpstr>
      <vt:lpstr>r_ann</vt:lpstr>
      <vt:lpstr>r_Delta_t</vt:lpstr>
      <vt:lpstr>rrS1_TxA</vt:lpstr>
      <vt:lpstr>rrS1_TxB</vt:lpstr>
      <vt:lpstr>rrS1_TxC</vt:lpstr>
      <vt:lpstr>rrS1Dead_TxD</vt:lpstr>
      <vt:lpstr>rrS2Dead_TxD</vt:lpstr>
      <vt:lpstr>uDeadBG</vt:lpstr>
      <vt:lpstr>uDeadDisease</vt:lpstr>
      <vt:lpstr>uHealthy</vt:lpstr>
      <vt:lpstr>uS1_</vt:lpstr>
      <vt:lpstr>uS2_</vt:lpstr>
      <vt:lpstr>YLD_NH</vt:lpstr>
      <vt:lpstr>YLD_TxA</vt:lpstr>
      <vt:lpstr>YLD_TxB</vt:lpstr>
      <vt:lpstr>YLD_TxC</vt:lpstr>
      <vt:lpstr>YLD_TxD</vt:lpstr>
      <vt:lpstr>YLL_NH</vt:lpstr>
      <vt:lpstr>YLL_TxA</vt:lpstr>
      <vt:lpstr>YLL_TxB</vt:lpstr>
      <vt:lpstr>YLL_TxC</vt:lpstr>
      <vt:lpstr>YLL_TxD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Graves, John</cp:lastModifiedBy>
  <dcterms:created xsi:type="dcterms:W3CDTF">2022-08-11T14:37:53Z</dcterms:created>
  <dcterms:modified xsi:type="dcterms:W3CDTF">2023-11-15T14:37:09Z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2c8cef-6f2b-4af1-b4ac-d815ff795cd6_Enabled">
    <vt:lpwstr>true</vt:lpwstr>
  </property>
  <property fmtid="{D5CDD505-2E9C-101B-9397-08002B2CF9AE}" pid="3" name="MSIP_Label_792c8cef-6f2b-4af1-b4ac-d815ff795cd6_SetDate">
    <vt:lpwstr>2022-08-31T16:58:03Z</vt:lpwstr>
  </property>
  <property fmtid="{D5CDD505-2E9C-101B-9397-08002B2CF9AE}" pid="4" name="MSIP_Label_792c8cef-6f2b-4af1-b4ac-d815ff795cd6_Method">
    <vt:lpwstr>Standard</vt:lpwstr>
  </property>
  <property fmtid="{D5CDD505-2E9C-101B-9397-08002B2CF9AE}" pid="5" name="MSIP_Label_792c8cef-6f2b-4af1-b4ac-d815ff795cd6_Name">
    <vt:lpwstr>VUMC General</vt:lpwstr>
  </property>
  <property fmtid="{D5CDD505-2E9C-101B-9397-08002B2CF9AE}" pid="6" name="MSIP_Label_792c8cef-6f2b-4af1-b4ac-d815ff795cd6_SiteId">
    <vt:lpwstr>ef575030-1424-4ed8-b83c-12c533d879ab</vt:lpwstr>
  </property>
  <property fmtid="{D5CDD505-2E9C-101B-9397-08002B2CF9AE}" pid="7" name="MSIP_Label_792c8cef-6f2b-4af1-b4ac-d815ff795cd6_ActionId">
    <vt:lpwstr>61a584df-31bc-49b8-86dc-4ad87c60c0ac</vt:lpwstr>
  </property>
  <property fmtid="{D5CDD505-2E9C-101B-9397-08002B2CF9AE}" pid="8" name="MSIP_Label_792c8cef-6f2b-4af1-b4ac-d815ff795cd6_ContentBits">
    <vt:lpwstr>0</vt:lpwstr>
  </property>
</Properties>
</file>